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aardema\Documents\Cash Flow\2018-19\"/>
    </mc:Choice>
  </mc:AlternateContent>
  <bookViews>
    <workbookView xWindow="360" yWindow="72" windowWidth="19320" windowHeight="12120" activeTab="1"/>
  </bookViews>
  <sheets>
    <sheet name="Notes" sheetId="10" r:id="rId1"/>
    <sheet name="Cash Flow" sheetId="2" r:id="rId2"/>
    <sheet name="Other Info" sheetId="4" r:id="rId3"/>
    <sheet name="Data" sheetId="3" r:id="rId4"/>
    <sheet name="Revenue" sheetId="7" r:id="rId5"/>
    <sheet name="Prop Tax" sheetId="8" r:id="rId6"/>
    <sheet name="Cash Balance" sheetId="9" r:id="rId7"/>
    <sheet name="DueToFrom" sheetId="6" r:id="rId8"/>
  </sheets>
  <definedNames>
    <definedName name="_1GF_REV_LOCAL">#REF!</definedName>
    <definedName name="_xlnm.Print_Area" localSheetId="1">'Cash Flow'!$A$1:$J$619</definedName>
    <definedName name="_xlnm.Print_Area" localSheetId="3">Data!$A$34:$D$40</definedName>
  </definedNames>
  <calcPr calcId="152511"/>
</workbook>
</file>

<file path=xl/calcChain.xml><?xml version="1.0" encoding="utf-8"?>
<calcChain xmlns="http://schemas.openxmlformats.org/spreadsheetml/2006/main">
  <c r="I9" i="2" l="1"/>
  <c r="H9" i="2"/>
  <c r="I16" i="2"/>
  <c r="H16" i="2"/>
  <c r="I23" i="2"/>
  <c r="H23" i="2"/>
  <c r="I30" i="2"/>
  <c r="H30" i="2"/>
  <c r="I37" i="2"/>
  <c r="H37" i="2"/>
  <c r="I44" i="2"/>
  <c r="H44" i="2"/>
  <c r="G30" i="2"/>
  <c r="F10" i="2"/>
  <c r="F24" i="2"/>
  <c r="F42" i="2"/>
  <c r="E10" i="2"/>
  <c r="E17" i="2"/>
  <c r="E24" i="2"/>
  <c r="E31" i="2"/>
  <c r="E38" i="2"/>
  <c r="E45" i="2"/>
  <c r="D36" i="2"/>
  <c r="C15" i="2"/>
  <c r="C48" i="2"/>
  <c r="C27" i="2"/>
  <c r="N555" i="2" l="1"/>
  <c r="N52" i="2"/>
  <c r="L36" i="3"/>
  <c r="K50" i="2" l="1"/>
  <c r="B7" i="2" l="1"/>
  <c r="B8" i="2" s="1"/>
  <c r="A6" i="2"/>
  <c r="A7" i="2" l="1"/>
  <c r="B9" i="2"/>
  <c r="A9" i="2" s="1"/>
  <c r="A8" i="2"/>
  <c r="K385" i="2"/>
  <c r="B10" i="2" l="1"/>
  <c r="A10" i="2" s="1"/>
  <c r="M340" i="2"/>
  <c r="K342" i="2"/>
  <c r="B11" i="2" l="1"/>
  <c r="A11" i="2" s="1"/>
  <c r="M218" i="2"/>
  <c r="B12" i="2" l="1"/>
  <c r="A12" i="2" s="1"/>
  <c r="M211" i="2"/>
  <c r="B13" i="2" l="1"/>
  <c r="A13" i="2" s="1"/>
  <c r="M203" i="2"/>
  <c r="B14" i="2" l="1"/>
  <c r="A14" i="2" s="1"/>
  <c r="M196" i="2"/>
  <c r="B15" i="2" l="1"/>
  <c r="B16" i="2" s="1"/>
  <c r="M188" i="2"/>
  <c r="N188" i="2" s="1"/>
  <c r="A15" i="2" l="1"/>
  <c r="B17" i="2"/>
  <c r="A16" i="2"/>
  <c r="M184" i="2"/>
  <c r="N184" i="2" s="1"/>
  <c r="A17" i="2" l="1"/>
  <c r="B18" i="2"/>
  <c r="M180" i="2"/>
  <c r="B19" i="2" l="1"/>
  <c r="A18" i="2"/>
  <c r="B4" i="4"/>
  <c r="M176" i="2"/>
  <c r="A19" i="2" l="1"/>
  <c r="B20" i="2"/>
  <c r="N176" i="2"/>
  <c r="A20" i="2" l="1"/>
  <c r="B21" i="2"/>
  <c r="M172" i="2"/>
  <c r="N172" i="2" s="1"/>
  <c r="B22" i="2" l="1"/>
  <c r="A21" i="2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N27" i="6"/>
  <c r="H27" i="6"/>
  <c r="F27" i="6"/>
  <c r="B10" i="6"/>
  <c r="B9" i="6"/>
  <c r="B8" i="6"/>
  <c r="B7" i="6"/>
  <c r="B6" i="6"/>
  <c r="B5" i="6"/>
  <c r="B4" i="6"/>
  <c r="B3" i="6"/>
  <c r="B2" i="6"/>
  <c r="P12" i="6"/>
  <c r="P13" i="6" s="1"/>
  <c r="P14" i="6" s="1"/>
  <c r="P15" i="6" s="1"/>
  <c r="N11" i="6"/>
  <c r="L11" i="6"/>
  <c r="J11" i="6"/>
  <c r="H11" i="6"/>
  <c r="F11" i="6"/>
  <c r="D11" i="6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15" i="9"/>
  <c r="B14" i="9"/>
  <c r="B13" i="9"/>
  <c r="B12" i="9"/>
  <c r="B11" i="9"/>
  <c r="B10" i="9"/>
  <c r="B9" i="9"/>
  <c r="B8" i="9"/>
  <c r="B7" i="9"/>
  <c r="B6" i="9"/>
  <c r="B5" i="9"/>
  <c r="B4" i="9"/>
  <c r="D15" i="9"/>
  <c r="D14" i="9"/>
  <c r="D13" i="9"/>
  <c r="D12" i="9"/>
  <c r="B3" i="9"/>
  <c r="C12" i="9"/>
  <c r="C13" i="9" s="1"/>
  <c r="C14" i="9" s="1"/>
  <c r="B23" i="2" l="1"/>
  <c r="A22" i="2"/>
  <c r="B11" i="6"/>
  <c r="A23" i="2" l="1"/>
  <c r="B24" i="2"/>
  <c r="C47" i="3"/>
  <c r="E6" i="7"/>
  <c r="D5" i="7"/>
  <c r="D4" i="7"/>
  <c r="D8" i="7" s="1"/>
  <c r="E3" i="7"/>
  <c r="B9" i="7"/>
  <c r="E8" i="7"/>
  <c r="B25" i="2" l="1"/>
  <c r="A24" i="2"/>
  <c r="D9" i="7"/>
  <c r="A25" i="2" l="1"/>
  <c r="B26" i="2"/>
  <c r="B47" i="3"/>
  <c r="B31" i="3"/>
  <c r="C31" i="3" s="1"/>
  <c r="D171" i="2" s="1"/>
  <c r="B30" i="3"/>
  <c r="C30" i="3" s="1"/>
  <c r="D156" i="2" s="1"/>
  <c r="B29" i="3"/>
  <c r="D29" i="3" s="1"/>
  <c r="D492" i="2" s="1"/>
  <c r="B28" i="3"/>
  <c r="D28" i="3" s="1"/>
  <c r="D461" i="2" s="1"/>
  <c r="B27" i="3"/>
  <c r="D27" i="3" s="1"/>
  <c r="D432" i="2" s="1"/>
  <c r="B26" i="3"/>
  <c r="D26" i="3" s="1"/>
  <c r="D404" i="2" s="1"/>
  <c r="B25" i="3"/>
  <c r="C25" i="3" s="1"/>
  <c r="B24" i="3"/>
  <c r="C24" i="3" s="1"/>
  <c r="B23" i="3"/>
  <c r="C23" i="3" s="1"/>
  <c r="B22" i="3"/>
  <c r="C22" i="3" s="1"/>
  <c r="B21" i="3"/>
  <c r="D21" i="3" s="1"/>
  <c r="D617" i="2" s="1"/>
  <c r="B20" i="3"/>
  <c r="D20" i="3" s="1"/>
  <c r="D588" i="2" s="1"/>
  <c r="E14" i="8"/>
  <c r="E13" i="8"/>
  <c r="E12" i="8"/>
  <c r="E11" i="8"/>
  <c r="E10" i="8"/>
  <c r="E9" i="8"/>
  <c r="E8" i="8"/>
  <c r="E7" i="8"/>
  <c r="E6" i="8"/>
  <c r="E5" i="8"/>
  <c r="E4" i="8"/>
  <c r="E3" i="8"/>
  <c r="E2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C14" i="8"/>
  <c r="I26" i="8"/>
  <c r="I25" i="8"/>
  <c r="I24" i="8"/>
  <c r="H26" i="8"/>
  <c r="H31" i="8" s="1"/>
  <c r="H25" i="8"/>
  <c r="H24" i="8"/>
  <c r="G27" i="8"/>
  <c r="G26" i="8"/>
  <c r="G25" i="8"/>
  <c r="G24" i="8"/>
  <c r="G31" i="8" s="1"/>
  <c r="E24" i="8"/>
  <c r="F27" i="8"/>
  <c r="F25" i="8"/>
  <c r="F24" i="8"/>
  <c r="E28" i="8"/>
  <c r="B28" i="8" s="1"/>
  <c r="E27" i="8"/>
  <c r="E26" i="8"/>
  <c r="E25" i="8"/>
  <c r="E23" i="8"/>
  <c r="B23" i="8" s="1"/>
  <c r="B30" i="8"/>
  <c r="B29" i="8"/>
  <c r="B22" i="8"/>
  <c r="B21" i="8"/>
  <c r="B20" i="8"/>
  <c r="B19" i="8"/>
  <c r="B18" i="8"/>
  <c r="B45" i="8"/>
  <c r="B44" i="8"/>
  <c r="B39" i="8"/>
  <c r="B38" i="8"/>
  <c r="B37" i="8"/>
  <c r="B36" i="8"/>
  <c r="B35" i="8"/>
  <c r="I47" i="8"/>
  <c r="B47" i="8" s="1"/>
  <c r="I43" i="8"/>
  <c r="I42" i="8"/>
  <c r="I41" i="8"/>
  <c r="I40" i="8"/>
  <c r="H47" i="8"/>
  <c r="H43" i="8"/>
  <c r="H42" i="8"/>
  <c r="H41" i="8"/>
  <c r="H48" i="8" s="1"/>
  <c r="G43" i="8"/>
  <c r="G42" i="8"/>
  <c r="G41" i="8"/>
  <c r="F47" i="8"/>
  <c r="F46" i="8"/>
  <c r="F43" i="8"/>
  <c r="F42" i="8"/>
  <c r="B42" i="8" s="1"/>
  <c r="F41" i="8"/>
  <c r="E47" i="8"/>
  <c r="E46" i="8"/>
  <c r="E43" i="8"/>
  <c r="E42" i="8"/>
  <c r="E41" i="8"/>
  <c r="E40" i="8"/>
  <c r="B40" i="8" s="1"/>
  <c r="B4" i="7"/>
  <c r="B8" i="7"/>
  <c r="C8" i="7"/>
  <c r="C6" i="7"/>
  <c r="B5" i="7"/>
  <c r="C4" i="7"/>
  <c r="C3" i="7"/>
  <c r="B27" i="2" l="1"/>
  <c r="A26" i="2"/>
  <c r="C20" i="3"/>
  <c r="D220" i="2"/>
  <c r="C21" i="3"/>
  <c r="D251" i="2"/>
  <c r="C28" i="3"/>
  <c r="D86" i="2" s="1"/>
  <c r="C29" i="3"/>
  <c r="D125" i="2" s="1"/>
  <c r="C26" i="3"/>
  <c r="C27" i="3"/>
  <c r="D64" i="2" s="1"/>
  <c r="D22" i="3"/>
  <c r="D279" i="2" s="1"/>
  <c r="D30" i="3"/>
  <c r="D524" i="2" s="1"/>
  <c r="D23" i="3"/>
  <c r="D312" i="2" s="1"/>
  <c r="D31" i="3"/>
  <c r="D538" i="2" s="1"/>
  <c r="D24" i="3"/>
  <c r="D342" i="2" s="1"/>
  <c r="D25" i="3"/>
  <c r="D373" i="2" s="1"/>
  <c r="B32" i="3"/>
  <c r="B46" i="8"/>
  <c r="B27" i="8"/>
  <c r="F31" i="8"/>
  <c r="G48" i="8"/>
  <c r="B41" i="8"/>
  <c r="B43" i="8"/>
  <c r="B48" i="8" s="1"/>
  <c r="I48" i="8"/>
  <c r="B26" i="8"/>
  <c r="B25" i="8"/>
  <c r="I31" i="8"/>
  <c r="E48" i="8"/>
  <c r="F48" i="8"/>
  <c r="B24" i="8"/>
  <c r="E31" i="8"/>
  <c r="D6" i="4"/>
  <c r="B28" i="2" l="1"/>
  <c r="A27" i="2"/>
  <c r="C25" i="8"/>
  <c r="C38" i="8"/>
  <c r="C35" i="8"/>
  <c r="C40" i="8"/>
  <c r="C44" i="8"/>
  <c r="C36" i="8"/>
  <c r="B49" i="8"/>
  <c r="C45" i="8"/>
  <c r="C41" i="8"/>
  <c r="C39" i="8"/>
  <c r="B31" i="8"/>
  <c r="C26" i="8" s="1"/>
  <c r="C46" i="8"/>
  <c r="C37" i="8"/>
  <c r="C43" i="8"/>
  <c r="C42" i="8"/>
  <c r="B29" i="2" l="1"/>
  <c r="A28" i="2"/>
  <c r="C24" i="8"/>
  <c r="B32" i="8"/>
  <c r="C5" i="8"/>
  <c r="C12" i="8"/>
  <c r="C4" i="8"/>
  <c r="C11" i="8"/>
  <c r="C3" i="8"/>
  <c r="C2" i="8"/>
  <c r="C22" i="8"/>
  <c r="C20" i="8"/>
  <c r="C19" i="8"/>
  <c r="C6" i="8"/>
  <c r="C18" i="8"/>
  <c r="C21" i="8"/>
  <c r="C28" i="8"/>
  <c r="C29" i="8"/>
  <c r="C23" i="8"/>
  <c r="C27" i="8"/>
  <c r="C48" i="8"/>
  <c r="N218" i="2"/>
  <c r="A29" i="2" l="1"/>
  <c r="B30" i="2"/>
  <c r="C31" i="8"/>
  <c r="N211" i="2"/>
  <c r="B31" i="2" l="1"/>
  <c r="A30" i="2"/>
  <c r="N203" i="2"/>
  <c r="A31" i="2" l="1"/>
  <c r="B32" i="2"/>
  <c r="N196" i="2"/>
  <c r="A32" i="2" l="1"/>
  <c r="B33" i="2"/>
  <c r="N180" i="2"/>
  <c r="A33" i="2" l="1"/>
  <c r="B34" i="2"/>
  <c r="B57" i="4"/>
  <c r="C19" i="4"/>
  <c r="D19" i="4" s="1"/>
  <c r="F19" i="4" s="1"/>
  <c r="C18" i="4"/>
  <c r="D18" i="4" s="1"/>
  <c r="F18" i="4" s="1"/>
  <c r="C17" i="4"/>
  <c r="D17" i="4" s="1"/>
  <c r="F17" i="4" s="1"/>
  <c r="C16" i="4"/>
  <c r="D16" i="4" s="1"/>
  <c r="F16" i="4" s="1"/>
  <c r="C15" i="4"/>
  <c r="D15" i="4" s="1"/>
  <c r="F15" i="4" s="1"/>
  <c r="C14" i="4"/>
  <c r="D14" i="4" s="1"/>
  <c r="F14" i="4" s="1"/>
  <c r="C13" i="4"/>
  <c r="D13" i="4" s="1"/>
  <c r="F13" i="4" s="1"/>
  <c r="C12" i="4"/>
  <c r="D12" i="4" s="1"/>
  <c r="F12" i="4" s="1"/>
  <c r="C11" i="4"/>
  <c r="D11" i="4" s="1"/>
  <c r="F11" i="4" s="1"/>
  <c r="C10" i="4"/>
  <c r="D10" i="4" s="1"/>
  <c r="F10" i="4" s="1"/>
  <c r="P28" i="6"/>
  <c r="P29" i="6" s="1"/>
  <c r="P30" i="6" s="1"/>
  <c r="P31" i="6" s="1"/>
  <c r="N28" i="6"/>
  <c r="L28" i="6"/>
  <c r="L29" i="6" s="1"/>
  <c r="J28" i="6"/>
  <c r="J29" i="6" s="1"/>
  <c r="J30" i="6" s="1"/>
  <c r="J31" i="6" s="1"/>
  <c r="H28" i="6"/>
  <c r="H29" i="6" s="1"/>
  <c r="H30" i="6" s="1"/>
  <c r="H31" i="6" s="1"/>
  <c r="F28" i="6"/>
  <c r="F29" i="6" s="1"/>
  <c r="F30" i="6" s="1"/>
  <c r="F31" i="6" s="1"/>
  <c r="D28" i="6"/>
  <c r="D29" i="6" s="1"/>
  <c r="R12" i="6"/>
  <c r="R13" i="6" s="1"/>
  <c r="R14" i="6" s="1"/>
  <c r="R15" i="6" s="1"/>
  <c r="N12" i="6"/>
  <c r="N13" i="6" s="1"/>
  <c r="N14" i="6" s="1"/>
  <c r="N15" i="6" s="1"/>
  <c r="L12" i="6"/>
  <c r="J12" i="6"/>
  <c r="J13" i="6" s="1"/>
  <c r="J14" i="6" s="1"/>
  <c r="J15" i="6" s="1"/>
  <c r="H12" i="6"/>
  <c r="H13" i="6" s="1"/>
  <c r="H14" i="6" s="1"/>
  <c r="H15" i="6" s="1"/>
  <c r="F12" i="6"/>
  <c r="F13" i="6" s="1"/>
  <c r="F14" i="6" s="1"/>
  <c r="F15" i="6" s="1"/>
  <c r="D12" i="6"/>
  <c r="B56" i="4"/>
  <c r="B55" i="4"/>
  <c r="B54" i="4"/>
  <c r="B53" i="4"/>
  <c r="B35" i="2" l="1"/>
  <c r="A34" i="2"/>
  <c r="N29" i="6"/>
  <c r="N30" i="6" s="1"/>
  <c r="N31" i="6" s="1"/>
  <c r="L30" i="6"/>
  <c r="L13" i="6"/>
  <c r="B12" i="6"/>
  <c r="D13" i="6"/>
  <c r="D14" i="6" s="1"/>
  <c r="D15" i="6" s="1"/>
  <c r="D30" i="6"/>
  <c r="B36" i="2" l="1"/>
  <c r="A35" i="2"/>
  <c r="L31" i="6"/>
  <c r="C20" i="4"/>
  <c r="D20" i="4" s="1"/>
  <c r="F20" i="4" s="1"/>
  <c r="L14" i="6"/>
  <c r="B13" i="6"/>
  <c r="D31" i="6"/>
  <c r="A36" i="2" l="1"/>
  <c r="B37" i="2"/>
  <c r="C21" i="4"/>
  <c r="D21" i="4" s="1"/>
  <c r="F21" i="4" s="1"/>
  <c r="L15" i="6"/>
  <c r="B15" i="6" s="1"/>
  <c r="B14" i="6"/>
  <c r="C22" i="4" s="1"/>
  <c r="D22" i="4" s="1"/>
  <c r="B52" i="4"/>
  <c r="B51" i="4"/>
  <c r="B50" i="4"/>
  <c r="B49" i="4"/>
  <c r="B48" i="4"/>
  <c r="B47" i="4"/>
  <c r="B46" i="4"/>
  <c r="B45" i="4"/>
  <c r="A37" i="2" l="1"/>
  <c r="B38" i="2"/>
  <c r="F22" i="4"/>
  <c r="F23" i="4" s="1"/>
  <c r="D23" i="4"/>
  <c r="D57" i="4"/>
  <c r="F57" i="4" s="1"/>
  <c r="D56" i="4"/>
  <c r="F56" i="4" s="1"/>
  <c r="D55" i="4"/>
  <c r="F55" i="4" s="1"/>
  <c r="D53" i="4"/>
  <c r="F53" i="4" s="1"/>
  <c r="D52" i="4"/>
  <c r="F52" i="4" s="1"/>
  <c r="D51" i="4"/>
  <c r="F51" i="4" s="1"/>
  <c r="D49" i="4"/>
  <c r="F49" i="4" s="1"/>
  <c r="D48" i="4"/>
  <c r="F48" i="4" s="1"/>
  <c r="D47" i="4"/>
  <c r="F47" i="4" s="1"/>
  <c r="D45" i="4"/>
  <c r="D41" i="4"/>
  <c r="A38" i="2" l="1"/>
  <c r="B39" i="2"/>
  <c r="D54" i="4"/>
  <c r="F54" i="4" s="1"/>
  <c r="D46" i="4"/>
  <c r="F46" i="4" s="1"/>
  <c r="D50" i="4"/>
  <c r="F50" i="4" s="1"/>
  <c r="F45" i="4"/>
  <c r="N560" i="2"/>
  <c r="A39" i="2" l="1"/>
  <c r="B40" i="2"/>
  <c r="F58" i="4"/>
  <c r="D58" i="4"/>
  <c r="B41" i="2" l="1"/>
  <c r="A40" i="2"/>
  <c r="C89" i="4"/>
  <c r="C87" i="4"/>
  <c r="C86" i="4"/>
  <c r="C84" i="4"/>
  <c r="C85" i="4"/>
  <c r="C83" i="4"/>
  <c r="C82" i="4"/>
  <c r="C81" i="4"/>
  <c r="C92" i="4"/>
  <c r="C91" i="4"/>
  <c r="C90" i="4"/>
  <c r="C88" i="4"/>
  <c r="C80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A41" i="2" l="1"/>
  <c r="B42" i="2"/>
  <c r="D92" i="4"/>
  <c r="F92" i="4" s="1"/>
  <c r="D91" i="4"/>
  <c r="F91" i="4" s="1"/>
  <c r="D90" i="4"/>
  <c r="F90" i="4" s="1"/>
  <c r="D89" i="4"/>
  <c r="F89" i="4" s="1"/>
  <c r="D88" i="4"/>
  <c r="F88" i="4" s="1"/>
  <c r="D87" i="4"/>
  <c r="F87" i="4" s="1"/>
  <c r="D86" i="4"/>
  <c r="F86" i="4" s="1"/>
  <c r="D85" i="4"/>
  <c r="F85" i="4" s="1"/>
  <c r="D84" i="4"/>
  <c r="F84" i="4" s="1"/>
  <c r="D83" i="4"/>
  <c r="F83" i="4" s="1"/>
  <c r="D82" i="4"/>
  <c r="F82" i="4" s="1"/>
  <c r="D81" i="4"/>
  <c r="F81" i="4" s="1"/>
  <c r="D80" i="4"/>
  <c r="F80" i="4" s="1"/>
  <c r="D76" i="4"/>
  <c r="G18" i="3"/>
  <c r="G16" i="3"/>
  <c r="B43" i="2" l="1"/>
  <c r="A42" i="2"/>
  <c r="F93" i="4"/>
  <c r="D93" i="4"/>
  <c r="A43" i="2" l="1"/>
  <c r="B44" i="2"/>
  <c r="N559" i="2"/>
  <c r="B45" i="2" l="1"/>
  <c r="A44" i="2"/>
  <c r="N558" i="2"/>
  <c r="B46" i="2" l="1"/>
  <c r="A45" i="2"/>
  <c r="N557" i="2"/>
  <c r="A46" i="2" l="1"/>
  <c r="B47" i="2"/>
  <c r="N556" i="2"/>
  <c r="B48" i="2" l="1"/>
  <c r="A47" i="2"/>
  <c r="B49" i="2" l="1"/>
  <c r="A48" i="2"/>
  <c r="C116" i="4"/>
  <c r="C115" i="4"/>
  <c r="C114" i="4"/>
  <c r="C122" i="4"/>
  <c r="C121" i="4"/>
  <c r="C120" i="4"/>
  <c r="C119" i="4"/>
  <c r="C118" i="4"/>
  <c r="C117" i="4"/>
  <c r="C124" i="4"/>
  <c r="C123" i="4"/>
  <c r="A49" i="2" l="1"/>
  <c r="B50" i="2"/>
  <c r="B115" i="4"/>
  <c r="B114" i="4"/>
  <c r="B124" i="4"/>
  <c r="B123" i="4"/>
  <c r="B122" i="4"/>
  <c r="B121" i="4"/>
  <c r="B120" i="4"/>
  <c r="B119" i="4"/>
  <c r="B118" i="4"/>
  <c r="B117" i="4"/>
  <c r="B116" i="4"/>
  <c r="I17" i="3"/>
  <c r="I15" i="3"/>
  <c r="A50" i="2" l="1"/>
  <c r="B51" i="2"/>
  <c r="G36" i="3"/>
  <c r="G35" i="3"/>
  <c r="G29" i="3"/>
  <c r="G30" i="3"/>
  <c r="B52" i="2" l="1"/>
  <c r="A51" i="2"/>
  <c r="I56" i="3"/>
  <c r="I55" i="3"/>
  <c r="I22" i="3"/>
  <c r="H22" i="3"/>
  <c r="I12" i="3"/>
  <c r="I25" i="3" s="1"/>
  <c r="I40" i="3"/>
  <c r="F576" i="2" l="1"/>
  <c r="F286" i="2"/>
  <c r="F482" i="2"/>
  <c r="F468" i="2"/>
  <c r="F394" i="2"/>
  <c r="F377" i="2"/>
  <c r="F562" i="2"/>
  <c r="F300" i="2"/>
  <c r="F499" i="2"/>
  <c r="H135" i="2"/>
  <c r="H79" i="2"/>
  <c r="H184" i="2"/>
  <c r="H72" i="2"/>
  <c r="H177" i="2"/>
  <c r="H65" i="2"/>
  <c r="H114" i="2"/>
  <c r="H107" i="2"/>
  <c r="H100" i="2"/>
  <c r="H149" i="2"/>
  <c r="H142" i="2"/>
  <c r="H128" i="2"/>
  <c r="H121" i="2"/>
  <c r="H170" i="2"/>
  <c r="H58" i="2"/>
  <c r="H163" i="2"/>
  <c r="H51" i="2"/>
  <c r="H156" i="2"/>
  <c r="H93" i="2"/>
  <c r="H86" i="2"/>
  <c r="A52" i="2"/>
  <c r="B53" i="2"/>
  <c r="G37" i="3"/>
  <c r="I57" i="3"/>
  <c r="D43" i="3"/>
  <c r="D126" i="4"/>
  <c r="F126" i="4" s="1"/>
  <c r="D125" i="4"/>
  <c r="F125" i="4" s="1"/>
  <c r="D124" i="4"/>
  <c r="F124" i="4" s="1"/>
  <c r="D123" i="4"/>
  <c r="F123" i="4" s="1"/>
  <c r="D122" i="4"/>
  <c r="F122" i="4" s="1"/>
  <c r="D121" i="4"/>
  <c r="F121" i="4" s="1"/>
  <c r="D120" i="4"/>
  <c r="F120" i="4" s="1"/>
  <c r="D119" i="4"/>
  <c r="F119" i="4" s="1"/>
  <c r="D118" i="4"/>
  <c r="F118" i="4" s="1"/>
  <c r="D117" i="4"/>
  <c r="F117" i="4" s="1"/>
  <c r="D116" i="4"/>
  <c r="F116" i="4" s="1"/>
  <c r="D115" i="4"/>
  <c r="F115" i="4" s="1"/>
  <c r="D114" i="4"/>
  <c r="D15" i="3"/>
  <c r="D11" i="3"/>
  <c r="E185" i="2" l="1"/>
  <c r="E129" i="2"/>
  <c r="E73" i="2"/>
  <c r="E178" i="2"/>
  <c r="E122" i="2"/>
  <c r="E66" i="2"/>
  <c r="E171" i="2"/>
  <c r="E115" i="2"/>
  <c r="E59" i="2"/>
  <c r="E108" i="2"/>
  <c r="E157" i="2"/>
  <c r="E150" i="2"/>
  <c r="E143" i="2"/>
  <c r="E87" i="2"/>
  <c r="E136" i="2"/>
  <c r="E80" i="2"/>
  <c r="E164" i="2"/>
  <c r="E52" i="2"/>
  <c r="E101" i="2"/>
  <c r="E94" i="2"/>
  <c r="H187" i="2"/>
  <c r="C209" i="2"/>
  <c r="C176" i="2"/>
  <c r="C146" i="2"/>
  <c r="C84" i="2"/>
  <c r="C240" i="2"/>
  <c r="C115" i="2"/>
  <c r="C56" i="2"/>
  <c r="C230" i="2"/>
  <c r="C199" i="2"/>
  <c r="C167" i="2"/>
  <c r="C105" i="2"/>
  <c r="C135" i="2"/>
  <c r="C76" i="2"/>
  <c r="A53" i="2"/>
  <c r="B54" i="2"/>
  <c r="F348" i="2"/>
  <c r="F257" i="2"/>
  <c r="F514" i="2"/>
  <c r="F594" i="2"/>
  <c r="F333" i="2"/>
  <c r="F318" i="2"/>
  <c r="I618" i="2"/>
  <c r="I249" i="2"/>
  <c r="G50" i="3"/>
  <c r="F453" i="2"/>
  <c r="F609" i="2"/>
  <c r="F545" i="2"/>
  <c r="F438" i="2"/>
  <c r="F530" i="2"/>
  <c r="F410" i="2"/>
  <c r="F425" i="2"/>
  <c r="F363" i="2"/>
  <c r="F272" i="2"/>
  <c r="I37" i="3"/>
  <c r="G45" i="3"/>
  <c r="G47" i="3" s="1"/>
  <c r="F114" i="4"/>
  <c r="F127" i="4" s="1"/>
  <c r="D127" i="4"/>
  <c r="E187" i="2" l="1"/>
  <c r="G617" i="2"/>
  <c r="G362" i="2"/>
  <c r="G582" i="2"/>
  <c r="G334" i="2"/>
  <c r="G306" i="2"/>
  <c r="G523" i="2"/>
  <c r="G278" i="2"/>
  <c r="G488" i="2"/>
  <c r="G250" i="2"/>
  <c r="G215" i="2"/>
  <c r="G425" i="2"/>
  <c r="G551" i="2"/>
  <c r="G460" i="2"/>
  <c r="G397" i="2"/>
  <c r="C187" i="2"/>
  <c r="B55" i="2"/>
  <c r="A54" i="2"/>
  <c r="G52" i="3"/>
  <c r="I52" i="3" s="1"/>
  <c r="I47" i="3"/>
  <c r="G60" i="3" l="1"/>
  <c r="I575" i="2"/>
  <c r="I516" i="2"/>
  <c r="I460" i="2"/>
  <c r="I404" i="2"/>
  <c r="I348" i="2"/>
  <c r="I292" i="2"/>
  <c r="I236" i="2"/>
  <c r="I568" i="2"/>
  <c r="I509" i="2"/>
  <c r="I453" i="2"/>
  <c r="I397" i="2"/>
  <c r="I341" i="2"/>
  <c r="I285" i="2"/>
  <c r="I229" i="2"/>
  <c r="I610" i="2"/>
  <c r="I495" i="2"/>
  <c r="I383" i="2"/>
  <c r="I271" i="2"/>
  <c r="I603" i="2"/>
  <c r="I432" i="2"/>
  <c r="I320" i="2"/>
  <c r="I208" i="2"/>
  <c r="I596" i="2"/>
  <c r="I425" i="2"/>
  <c r="I313" i="2"/>
  <c r="I201" i="2"/>
  <c r="I589" i="2"/>
  <c r="I474" i="2"/>
  <c r="I418" i="2"/>
  <c r="I250" i="2"/>
  <c r="I582" i="2"/>
  <c r="I523" i="2"/>
  <c r="I411" i="2"/>
  <c r="I355" i="2"/>
  <c r="I243" i="2"/>
  <c r="I617" i="2"/>
  <c r="I561" i="2"/>
  <c r="I502" i="2"/>
  <c r="I446" i="2"/>
  <c r="I390" i="2"/>
  <c r="I334" i="2"/>
  <c r="I278" i="2"/>
  <c r="I222" i="2"/>
  <c r="I551" i="2"/>
  <c r="I439" i="2"/>
  <c r="I327" i="2"/>
  <c r="I215" i="2"/>
  <c r="I544" i="2"/>
  <c r="I488" i="2"/>
  <c r="I376" i="2"/>
  <c r="I264" i="2"/>
  <c r="I537" i="2"/>
  <c r="I481" i="2"/>
  <c r="I369" i="2"/>
  <c r="I257" i="2"/>
  <c r="I530" i="2"/>
  <c r="I362" i="2"/>
  <c r="I306" i="2"/>
  <c r="I194" i="2"/>
  <c r="I467" i="2"/>
  <c r="I299" i="2"/>
  <c r="I177" i="2"/>
  <c r="I121" i="2"/>
  <c r="I65" i="2"/>
  <c r="I170" i="2"/>
  <c r="I114" i="2"/>
  <c r="I58" i="2"/>
  <c r="I156" i="2"/>
  <c r="I93" i="2"/>
  <c r="I142" i="2"/>
  <c r="I135" i="2"/>
  <c r="I128" i="2"/>
  <c r="I163" i="2"/>
  <c r="I107" i="2"/>
  <c r="I51" i="2"/>
  <c r="I100" i="2"/>
  <c r="I149" i="2"/>
  <c r="I86" i="2"/>
  <c r="I79" i="2"/>
  <c r="I184" i="2"/>
  <c r="I72" i="2"/>
  <c r="A55" i="2"/>
  <c r="B56" i="2"/>
  <c r="I187" i="2" l="1"/>
  <c r="B57" i="2"/>
  <c r="A56" i="2"/>
  <c r="B58" i="2" l="1"/>
  <c r="A57" i="2"/>
  <c r="A58" i="2" l="1"/>
  <c r="B59" i="2"/>
  <c r="B60" i="2" l="1"/>
  <c r="A59" i="2"/>
  <c r="A60" i="2" l="1"/>
  <c r="B61" i="2"/>
  <c r="B62" i="2" l="1"/>
  <c r="A61" i="2"/>
  <c r="A62" i="2" l="1"/>
  <c r="B63" i="2"/>
  <c r="B64" i="2" l="1"/>
  <c r="A63" i="2"/>
  <c r="C32" i="3"/>
  <c r="D111" i="4"/>
  <c r="A64" i="2" l="1"/>
  <c r="B65" i="2"/>
  <c r="A65" i="2" l="1"/>
  <c r="B66" i="2"/>
  <c r="B67" i="2" l="1"/>
  <c r="A66" i="2"/>
  <c r="A67" i="2" l="1"/>
  <c r="B68" i="2"/>
  <c r="B191" i="2"/>
  <c r="B192" i="2" s="1"/>
  <c r="B193" i="2" s="1"/>
  <c r="A190" i="2"/>
  <c r="I8" i="3"/>
  <c r="I41" i="3"/>
  <c r="I21" i="3"/>
  <c r="H21" i="3"/>
  <c r="I11" i="3"/>
  <c r="D44" i="3"/>
  <c r="D40" i="3"/>
  <c r="D39" i="3"/>
  <c r="D37" i="3"/>
  <c r="D36" i="3"/>
  <c r="D16" i="3"/>
  <c r="D12" i="3"/>
  <c r="I24" i="3" l="1"/>
  <c r="F85" i="2" s="1"/>
  <c r="D122" i="2"/>
  <c r="D187" i="2" s="1"/>
  <c r="F195" i="2"/>
  <c r="F209" i="2"/>
  <c r="F177" i="2"/>
  <c r="F162" i="2"/>
  <c r="C579" i="2"/>
  <c r="C544" i="2"/>
  <c r="C513" i="2"/>
  <c r="C485" i="2"/>
  <c r="C332" i="2"/>
  <c r="C608" i="2"/>
  <c r="C394" i="2"/>
  <c r="C303" i="2"/>
  <c r="C600" i="2"/>
  <c r="C534" i="2"/>
  <c r="C443" i="2"/>
  <c r="C352" i="2"/>
  <c r="C324" i="2"/>
  <c r="C261" i="2"/>
  <c r="C415" i="2"/>
  <c r="H596" i="2"/>
  <c r="H537" i="2"/>
  <c r="H481" i="2"/>
  <c r="H425" i="2"/>
  <c r="H369" i="2"/>
  <c r="H313" i="2"/>
  <c r="H589" i="2"/>
  <c r="H530" i="2"/>
  <c r="H474" i="2"/>
  <c r="H418" i="2"/>
  <c r="H362" i="2"/>
  <c r="H306" i="2"/>
  <c r="H250" i="2"/>
  <c r="H194" i="2"/>
  <c r="H467" i="2"/>
  <c r="H299" i="2"/>
  <c r="H516" i="2"/>
  <c r="H404" i="2"/>
  <c r="H292" i="2"/>
  <c r="H568" i="2"/>
  <c r="H453" i="2"/>
  <c r="H341" i="2"/>
  <c r="H229" i="2"/>
  <c r="H561" i="2"/>
  <c r="H446" i="2"/>
  <c r="H390" i="2"/>
  <c r="H278" i="2"/>
  <c r="H610" i="2"/>
  <c r="H439" i="2"/>
  <c r="H327" i="2"/>
  <c r="H215" i="2"/>
  <c r="H603" i="2"/>
  <c r="H488" i="2"/>
  <c r="H376" i="2"/>
  <c r="H264" i="2"/>
  <c r="H201" i="2"/>
  <c r="H582" i="2"/>
  <c r="H523" i="2"/>
  <c r="H411" i="2"/>
  <c r="H355" i="2"/>
  <c r="H243" i="2"/>
  <c r="H575" i="2"/>
  <c r="H460" i="2"/>
  <c r="H348" i="2"/>
  <c r="H236" i="2"/>
  <c r="H509" i="2"/>
  <c r="H397" i="2"/>
  <c r="H285" i="2"/>
  <c r="H617" i="2"/>
  <c r="H502" i="2"/>
  <c r="H334" i="2"/>
  <c r="H222" i="2"/>
  <c r="H551" i="2"/>
  <c r="H495" i="2"/>
  <c r="H383" i="2"/>
  <c r="H271" i="2"/>
  <c r="H544" i="2"/>
  <c r="H432" i="2"/>
  <c r="H320" i="2"/>
  <c r="H208" i="2"/>
  <c r="H257" i="2"/>
  <c r="E569" i="2"/>
  <c r="E510" i="2"/>
  <c r="E454" i="2"/>
  <c r="E398" i="2"/>
  <c r="E342" i="2"/>
  <c r="E286" i="2"/>
  <c r="E230" i="2"/>
  <c r="E618" i="2"/>
  <c r="E562" i="2"/>
  <c r="E503" i="2"/>
  <c r="E447" i="2"/>
  <c r="E391" i="2"/>
  <c r="E335" i="2"/>
  <c r="E279" i="2"/>
  <c r="E223" i="2"/>
  <c r="E611" i="2"/>
  <c r="E552" i="2"/>
  <c r="E496" i="2"/>
  <c r="E440" i="2"/>
  <c r="E384" i="2"/>
  <c r="E328" i="2"/>
  <c r="E272" i="2"/>
  <c r="E216" i="2"/>
  <c r="E604" i="2"/>
  <c r="E545" i="2"/>
  <c r="E433" i="2"/>
  <c r="E377" i="2"/>
  <c r="E321" i="2"/>
  <c r="E265" i="2"/>
  <c r="E209" i="2"/>
  <c r="E597" i="2"/>
  <c r="E482" i="2"/>
  <c r="E426" i="2"/>
  <c r="E314" i="2"/>
  <c r="E202" i="2"/>
  <c r="E531" i="2"/>
  <c r="E475" i="2"/>
  <c r="E363" i="2"/>
  <c r="E251" i="2"/>
  <c r="E583" i="2"/>
  <c r="E468" i="2"/>
  <c r="E356" i="2"/>
  <c r="E244" i="2"/>
  <c r="E576" i="2"/>
  <c r="E517" i="2"/>
  <c r="E461" i="2"/>
  <c r="E405" i="2"/>
  <c r="E349" i="2"/>
  <c r="E293" i="2"/>
  <c r="E237" i="2"/>
  <c r="E489" i="2"/>
  <c r="E538" i="2"/>
  <c r="E370" i="2"/>
  <c r="E258" i="2"/>
  <c r="E590" i="2"/>
  <c r="E419" i="2"/>
  <c r="E307" i="2"/>
  <c r="E195" i="2"/>
  <c r="E524" i="2"/>
  <c r="E412" i="2"/>
  <c r="E300" i="2"/>
  <c r="B69" i="2"/>
  <c r="A68" i="2"/>
  <c r="D493" i="2"/>
  <c r="C567" i="2"/>
  <c r="D618" i="2"/>
  <c r="D249" i="2"/>
  <c r="C503" i="2"/>
  <c r="C473" i="2"/>
  <c r="C291" i="2"/>
  <c r="C452" i="2"/>
  <c r="C424" i="2"/>
  <c r="C383" i="2"/>
  <c r="C362" i="2"/>
  <c r="J5" i="2"/>
  <c r="G31" i="3"/>
  <c r="F60" i="3" s="1"/>
  <c r="D32" i="3"/>
  <c r="A191" i="2"/>
  <c r="B194" i="2"/>
  <c r="A193" i="2"/>
  <c r="A192" i="2"/>
  <c r="F57" i="2" l="1"/>
  <c r="F101" i="2"/>
  <c r="F129" i="2"/>
  <c r="F146" i="2"/>
  <c r="F226" i="2"/>
  <c r="F70" i="2"/>
  <c r="F115" i="2"/>
  <c r="B70" i="2"/>
  <c r="A69" i="2"/>
  <c r="J6" i="2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F241" i="2"/>
  <c r="D555" i="2"/>
  <c r="E555" i="2"/>
  <c r="I31" i="3"/>
  <c r="C555" i="2"/>
  <c r="I555" i="2"/>
  <c r="H555" i="2"/>
  <c r="B195" i="2"/>
  <c r="A194" i="2"/>
  <c r="C188" i="2"/>
  <c r="F187" i="2" l="1"/>
  <c r="G121" i="2"/>
  <c r="G93" i="2"/>
  <c r="G58" i="2"/>
  <c r="G149" i="2"/>
  <c r="G184" i="2"/>
  <c r="J43" i="2"/>
  <c r="J44" i="2" s="1"/>
  <c r="J45" i="2" s="1"/>
  <c r="J46" i="2" s="1"/>
  <c r="J47" i="2" s="1"/>
  <c r="J48" i="2" s="1"/>
  <c r="J49" i="2" s="1"/>
  <c r="J50" i="2" s="1"/>
  <c r="B71" i="2"/>
  <c r="A70" i="2"/>
  <c r="F555" i="2"/>
  <c r="C556" i="2"/>
  <c r="G555" i="2"/>
  <c r="B196" i="2"/>
  <c r="A195" i="2"/>
  <c r="J51" i="2" l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J96" i="2" s="1"/>
  <c r="J97" i="2" s="1"/>
  <c r="J98" i="2" s="1"/>
  <c r="J99" i="2" s="1"/>
  <c r="J100" i="2" s="1"/>
  <c r="J101" i="2" s="1"/>
  <c r="J102" i="2" s="1"/>
  <c r="J103" i="2" s="1"/>
  <c r="J104" i="2" s="1"/>
  <c r="J105" i="2" s="1"/>
  <c r="J106" i="2" s="1"/>
  <c r="J107" i="2" s="1"/>
  <c r="J108" i="2" s="1"/>
  <c r="J109" i="2" s="1"/>
  <c r="J110" i="2" s="1"/>
  <c r="J111" i="2" s="1"/>
  <c r="J112" i="2" s="1"/>
  <c r="J113" i="2" s="1"/>
  <c r="J114" i="2" s="1"/>
  <c r="J115" i="2" s="1"/>
  <c r="J116" i="2" s="1"/>
  <c r="J117" i="2" s="1"/>
  <c r="J118" i="2" s="1"/>
  <c r="J119" i="2" s="1"/>
  <c r="J120" i="2" s="1"/>
  <c r="J121" i="2" s="1"/>
  <c r="J122" i="2" s="1"/>
  <c r="J123" i="2" s="1"/>
  <c r="J124" i="2" s="1"/>
  <c r="J125" i="2" s="1"/>
  <c r="J126" i="2" s="1"/>
  <c r="J127" i="2" s="1"/>
  <c r="J128" i="2" s="1"/>
  <c r="J129" i="2" s="1"/>
  <c r="J130" i="2" s="1"/>
  <c r="J131" i="2" s="1"/>
  <c r="J132" i="2" s="1"/>
  <c r="J133" i="2" s="1"/>
  <c r="J134" i="2" s="1"/>
  <c r="J135" i="2" s="1"/>
  <c r="J136" i="2" s="1"/>
  <c r="J137" i="2" s="1"/>
  <c r="J138" i="2" s="1"/>
  <c r="J139" i="2" s="1"/>
  <c r="J140" i="2" s="1"/>
  <c r="J141" i="2" s="1"/>
  <c r="J142" i="2" s="1"/>
  <c r="J143" i="2" s="1"/>
  <c r="J144" i="2" s="1"/>
  <c r="J145" i="2" s="1"/>
  <c r="J146" i="2" s="1"/>
  <c r="J147" i="2" s="1"/>
  <c r="J148" i="2" s="1"/>
  <c r="J149" i="2" s="1"/>
  <c r="J150" i="2" s="1"/>
  <c r="J151" i="2" s="1"/>
  <c r="J152" i="2" s="1"/>
  <c r="J153" i="2" s="1"/>
  <c r="J154" i="2" s="1"/>
  <c r="J155" i="2" s="1"/>
  <c r="J156" i="2" s="1"/>
  <c r="J157" i="2" s="1"/>
  <c r="J158" i="2" s="1"/>
  <c r="J159" i="2" s="1"/>
  <c r="J160" i="2" s="1"/>
  <c r="J161" i="2" s="1"/>
  <c r="J162" i="2" s="1"/>
  <c r="J163" i="2" s="1"/>
  <c r="J164" i="2" s="1"/>
  <c r="J165" i="2" s="1"/>
  <c r="J166" i="2" s="1"/>
  <c r="J167" i="2" s="1"/>
  <c r="J168" i="2" s="1"/>
  <c r="J169" i="2" s="1"/>
  <c r="J170" i="2" s="1"/>
  <c r="J171" i="2" s="1"/>
  <c r="J172" i="2" s="1"/>
  <c r="J173" i="2" s="1"/>
  <c r="J174" i="2" s="1"/>
  <c r="J175" i="2" s="1"/>
  <c r="J176" i="2" s="1"/>
  <c r="J177" i="2" s="1"/>
  <c r="J178" i="2" s="1"/>
  <c r="J179" i="2" s="1"/>
  <c r="J180" i="2" s="1"/>
  <c r="J181" i="2" s="1"/>
  <c r="J182" i="2" s="1"/>
  <c r="J183" i="2" s="1"/>
  <c r="J184" i="2" s="1"/>
  <c r="J185" i="2" s="1"/>
  <c r="J186" i="2" s="1"/>
  <c r="J189" i="2" s="1"/>
  <c r="G187" i="2"/>
  <c r="F188" i="2" s="1"/>
  <c r="A71" i="2"/>
  <c r="B72" i="2"/>
  <c r="F556" i="2"/>
  <c r="B197" i="2"/>
  <c r="A196" i="2"/>
  <c r="J187" i="2" l="1"/>
  <c r="A72" i="2"/>
  <c r="B73" i="2"/>
  <c r="A197" i="2"/>
  <c r="B198" i="2"/>
  <c r="A73" i="2" l="1"/>
  <c r="B74" i="2"/>
  <c r="B199" i="2"/>
  <c r="A198" i="2"/>
  <c r="A74" i="2" l="1"/>
  <c r="B75" i="2"/>
  <c r="J190" i="2"/>
  <c r="J191" i="2" s="1"/>
  <c r="J192" i="2" s="1"/>
  <c r="J193" i="2" s="1"/>
  <c r="J194" i="2" s="1"/>
  <c r="B200" i="2"/>
  <c r="A199" i="2"/>
  <c r="B76" i="2" l="1"/>
  <c r="A75" i="2"/>
  <c r="J195" i="2"/>
  <c r="J196" i="2" s="1"/>
  <c r="J197" i="2" s="1"/>
  <c r="J198" i="2" s="1"/>
  <c r="J199" i="2" s="1"/>
  <c r="J200" i="2" s="1"/>
  <c r="J201" i="2" s="1"/>
  <c r="J202" i="2" s="1"/>
  <c r="J203" i="2" s="1"/>
  <c r="J204" i="2" s="1"/>
  <c r="J205" i="2" s="1"/>
  <c r="J206" i="2" s="1"/>
  <c r="J207" i="2" s="1"/>
  <c r="J208" i="2" s="1"/>
  <c r="J209" i="2" s="1"/>
  <c r="J210" i="2" s="1"/>
  <c r="J211" i="2" s="1"/>
  <c r="J212" i="2" s="1"/>
  <c r="J213" i="2" s="1"/>
  <c r="J214" i="2" s="1"/>
  <c r="J215" i="2" s="1"/>
  <c r="J216" i="2" s="1"/>
  <c r="J217" i="2" s="1"/>
  <c r="J218" i="2" s="1"/>
  <c r="J219" i="2" s="1"/>
  <c r="J220" i="2" s="1"/>
  <c r="J221" i="2" s="1"/>
  <c r="J222" i="2" s="1"/>
  <c r="J223" i="2" s="1"/>
  <c r="J224" i="2" s="1"/>
  <c r="J225" i="2" s="1"/>
  <c r="J226" i="2" s="1"/>
  <c r="J227" i="2" s="1"/>
  <c r="J228" i="2" s="1"/>
  <c r="J229" i="2" s="1"/>
  <c r="J230" i="2" s="1"/>
  <c r="J231" i="2" s="1"/>
  <c r="J232" i="2" s="1"/>
  <c r="J233" i="2" s="1"/>
  <c r="J234" i="2" s="1"/>
  <c r="J235" i="2" s="1"/>
  <c r="J236" i="2" s="1"/>
  <c r="J237" i="2" s="1"/>
  <c r="J238" i="2" s="1"/>
  <c r="J239" i="2" s="1"/>
  <c r="J240" i="2" s="1"/>
  <c r="J241" i="2" s="1"/>
  <c r="J242" i="2" s="1"/>
  <c r="J243" i="2" s="1"/>
  <c r="J244" i="2" s="1"/>
  <c r="J245" i="2" s="1"/>
  <c r="J246" i="2" s="1"/>
  <c r="J247" i="2" s="1"/>
  <c r="J248" i="2" s="1"/>
  <c r="A200" i="2"/>
  <c r="B201" i="2"/>
  <c r="J249" i="2" l="1"/>
  <c r="J250" i="2" s="1"/>
  <c r="B77" i="2"/>
  <c r="A76" i="2"/>
  <c r="B202" i="2"/>
  <c r="A201" i="2"/>
  <c r="J251" i="2" l="1"/>
  <c r="J252" i="2" s="1"/>
  <c r="J253" i="2" s="1"/>
  <c r="J254" i="2" s="1"/>
  <c r="J255" i="2" s="1"/>
  <c r="J256" i="2" s="1"/>
  <c r="J257" i="2" s="1"/>
  <c r="J258" i="2" s="1"/>
  <c r="J259" i="2" s="1"/>
  <c r="J260" i="2" s="1"/>
  <c r="J261" i="2" s="1"/>
  <c r="J262" i="2" s="1"/>
  <c r="J263" i="2" s="1"/>
  <c r="J264" i="2" s="1"/>
  <c r="J265" i="2" s="1"/>
  <c r="J266" i="2" s="1"/>
  <c r="J267" i="2" s="1"/>
  <c r="J268" i="2" s="1"/>
  <c r="J269" i="2" s="1"/>
  <c r="J270" i="2" s="1"/>
  <c r="J271" i="2" s="1"/>
  <c r="J272" i="2" s="1"/>
  <c r="J273" i="2" s="1"/>
  <c r="J274" i="2" s="1"/>
  <c r="J275" i="2" s="1"/>
  <c r="J276" i="2" s="1"/>
  <c r="J277" i="2" s="1"/>
  <c r="J278" i="2" s="1"/>
  <c r="J279" i="2" s="1"/>
  <c r="J280" i="2" s="1"/>
  <c r="J281" i="2" s="1"/>
  <c r="J282" i="2" s="1"/>
  <c r="J283" i="2" s="1"/>
  <c r="J284" i="2" s="1"/>
  <c r="J285" i="2" s="1"/>
  <c r="J286" i="2" s="1"/>
  <c r="J287" i="2" s="1"/>
  <c r="J288" i="2" s="1"/>
  <c r="J289" i="2" s="1"/>
  <c r="J290" i="2" s="1"/>
  <c r="J291" i="2" s="1"/>
  <c r="J292" i="2" s="1"/>
  <c r="J293" i="2" s="1"/>
  <c r="J294" i="2" s="1"/>
  <c r="J295" i="2" s="1"/>
  <c r="J296" i="2" s="1"/>
  <c r="J297" i="2" s="1"/>
  <c r="J298" i="2" s="1"/>
  <c r="J299" i="2" s="1"/>
  <c r="J300" i="2" s="1"/>
  <c r="J301" i="2" s="1"/>
  <c r="J302" i="2" s="1"/>
  <c r="J303" i="2" s="1"/>
  <c r="J304" i="2" s="1"/>
  <c r="J305" i="2" s="1"/>
  <c r="J306" i="2" s="1"/>
  <c r="J307" i="2" s="1"/>
  <c r="J308" i="2" s="1"/>
  <c r="J309" i="2" s="1"/>
  <c r="J310" i="2" s="1"/>
  <c r="J311" i="2" s="1"/>
  <c r="J312" i="2" s="1"/>
  <c r="J313" i="2" s="1"/>
  <c r="J314" i="2" s="1"/>
  <c r="J315" i="2" s="1"/>
  <c r="J316" i="2" s="1"/>
  <c r="J317" i="2" s="1"/>
  <c r="J318" i="2" s="1"/>
  <c r="J319" i="2" s="1"/>
  <c r="J320" i="2" s="1"/>
  <c r="J321" i="2" s="1"/>
  <c r="J322" i="2" s="1"/>
  <c r="J323" i="2" s="1"/>
  <c r="J324" i="2" s="1"/>
  <c r="J325" i="2" s="1"/>
  <c r="J326" i="2" s="1"/>
  <c r="J327" i="2" s="1"/>
  <c r="J328" i="2" s="1"/>
  <c r="J329" i="2" s="1"/>
  <c r="J330" i="2" s="1"/>
  <c r="J331" i="2" s="1"/>
  <c r="J332" i="2" s="1"/>
  <c r="J333" i="2" s="1"/>
  <c r="J334" i="2" s="1"/>
  <c r="J335" i="2" s="1"/>
  <c r="J336" i="2" s="1"/>
  <c r="J337" i="2" s="1"/>
  <c r="J338" i="2" s="1"/>
  <c r="J339" i="2" s="1"/>
  <c r="J340" i="2" s="1"/>
  <c r="J341" i="2" s="1"/>
  <c r="J342" i="2" s="1"/>
  <c r="J343" i="2" s="1"/>
  <c r="J344" i="2" s="1"/>
  <c r="J345" i="2" s="1"/>
  <c r="J346" i="2" s="1"/>
  <c r="J347" i="2" s="1"/>
  <c r="J348" i="2" s="1"/>
  <c r="J349" i="2" s="1"/>
  <c r="J350" i="2" s="1"/>
  <c r="J351" i="2" s="1"/>
  <c r="J352" i="2" s="1"/>
  <c r="J353" i="2" s="1"/>
  <c r="J354" i="2" s="1"/>
  <c r="J355" i="2" s="1"/>
  <c r="J356" i="2" s="1"/>
  <c r="J357" i="2" s="1"/>
  <c r="J358" i="2" s="1"/>
  <c r="J359" i="2" s="1"/>
  <c r="J360" i="2" s="1"/>
  <c r="J361" i="2" s="1"/>
  <c r="J362" i="2" s="1"/>
  <c r="J363" i="2" s="1"/>
  <c r="J364" i="2" s="1"/>
  <c r="J365" i="2" s="1"/>
  <c r="J366" i="2" s="1"/>
  <c r="J367" i="2" s="1"/>
  <c r="J368" i="2" s="1"/>
  <c r="J369" i="2" s="1"/>
  <c r="J370" i="2" s="1"/>
  <c r="J371" i="2" s="1"/>
  <c r="J372" i="2" s="1"/>
  <c r="J373" i="2" s="1"/>
  <c r="J374" i="2" s="1"/>
  <c r="J375" i="2" s="1"/>
  <c r="J376" i="2" s="1"/>
  <c r="J377" i="2" s="1"/>
  <c r="J378" i="2" s="1"/>
  <c r="J379" i="2" s="1"/>
  <c r="J380" i="2" s="1"/>
  <c r="J381" i="2" s="1"/>
  <c r="J382" i="2" s="1"/>
  <c r="J383" i="2" s="1"/>
  <c r="J384" i="2" s="1"/>
  <c r="J385" i="2" s="1"/>
  <c r="J386" i="2" s="1"/>
  <c r="J387" i="2" s="1"/>
  <c r="J388" i="2" s="1"/>
  <c r="J389" i="2" s="1"/>
  <c r="J390" i="2" s="1"/>
  <c r="J391" i="2" s="1"/>
  <c r="J392" i="2" s="1"/>
  <c r="J393" i="2" s="1"/>
  <c r="J394" i="2" s="1"/>
  <c r="J395" i="2" s="1"/>
  <c r="J396" i="2" s="1"/>
  <c r="J397" i="2" s="1"/>
  <c r="J398" i="2" s="1"/>
  <c r="J399" i="2" s="1"/>
  <c r="J400" i="2" s="1"/>
  <c r="J401" i="2" s="1"/>
  <c r="J402" i="2" s="1"/>
  <c r="J403" i="2" s="1"/>
  <c r="J404" i="2" s="1"/>
  <c r="J405" i="2" s="1"/>
  <c r="J406" i="2" s="1"/>
  <c r="J407" i="2" s="1"/>
  <c r="J408" i="2" s="1"/>
  <c r="J409" i="2" s="1"/>
  <c r="J410" i="2" s="1"/>
  <c r="J411" i="2" s="1"/>
  <c r="J412" i="2" s="1"/>
  <c r="J413" i="2" s="1"/>
  <c r="J414" i="2" s="1"/>
  <c r="J415" i="2" s="1"/>
  <c r="J416" i="2" s="1"/>
  <c r="J417" i="2" s="1"/>
  <c r="J418" i="2" s="1"/>
  <c r="J419" i="2" s="1"/>
  <c r="J420" i="2" s="1"/>
  <c r="J421" i="2" s="1"/>
  <c r="J422" i="2" s="1"/>
  <c r="J423" i="2" s="1"/>
  <c r="J424" i="2" s="1"/>
  <c r="J425" i="2" s="1"/>
  <c r="J426" i="2" s="1"/>
  <c r="J427" i="2" s="1"/>
  <c r="J428" i="2" s="1"/>
  <c r="J429" i="2" s="1"/>
  <c r="J430" i="2" s="1"/>
  <c r="J431" i="2" s="1"/>
  <c r="J432" i="2" s="1"/>
  <c r="J433" i="2" s="1"/>
  <c r="J434" i="2" s="1"/>
  <c r="J435" i="2" s="1"/>
  <c r="J436" i="2" s="1"/>
  <c r="J437" i="2" s="1"/>
  <c r="J438" i="2" s="1"/>
  <c r="J439" i="2" s="1"/>
  <c r="J440" i="2" s="1"/>
  <c r="J441" i="2" s="1"/>
  <c r="J442" i="2" s="1"/>
  <c r="J443" i="2" s="1"/>
  <c r="J444" i="2" s="1"/>
  <c r="J445" i="2" s="1"/>
  <c r="J446" i="2" s="1"/>
  <c r="J447" i="2" s="1"/>
  <c r="J448" i="2" s="1"/>
  <c r="J449" i="2" s="1"/>
  <c r="J450" i="2" s="1"/>
  <c r="J451" i="2" s="1"/>
  <c r="J452" i="2" s="1"/>
  <c r="J453" i="2" s="1"/>
  <c r="J454" i="2" s="1"/>
  <c r="J455" i="2" s="1"/>
  <c r="J456" i="2" s="1"/>
  <c r="J457" i="2" s="1"/>
  <c r="J458" i="2" s="1"/>
  <c r="J459" i="2" s="1"/>
  <c r="J460" i="2" s="1"/>
  <c r="J461" i="2" s="1"/>
  <c r="J462" i="2" s="1"/>
  <c r="J463" i="2" s="1"/>
  <c r="J464" i="2" s="1"/>
  <c r="J465" i="2" s="1"/>
  <c r="J466" i="2" s="1"/>
  <c r="J467" i="2" s="1"/>
  <c r="J468" i="2" s="1"/>
  <c r="J469" i="2" s="1"/>
  <c r="J470" i="2" s="1"/>
  <c r="J471" i="2" s="1"/>
  <c r="J472" i="2" s="1"/>
  <c r="J473" i="2" s="1"/>
  <c r="J474" i="2" s="1"/>
  <c r="J475" i="2" s="1"/>
  <c r="J476" i="2" s="1"/>
  <c r="J477" i="2" s="1"/>
  <c r="J478" i="2" s="1"/>
  <c r="J479" i="2" s="1"/>
  <c r="J480" i="2" s="1"/>
  <c r="J481" i="2" s="1"/>
  <c r="J482" i="2" s="1"/>
  <c r="J483" i="2" s="1"/>
  <c r="J484" i="2" s="1"/>
  <c r="J485" i="2" s="1"/>
  <c r="J486" i="2" s="1"/>
  <c r="J487" i="2" s="1"/>
  <c r="J488" i="2" s="1"/>
  <c r="J489" i="2" s="1"/>
  <c r="J490" i="2" s="1"/>
  <c r="J491" i="2" s="1"/>
  <c r="J492" i="2" s="1"/>
  <c r="J493" i="2" s="1"/>
  <c r="J494" i="2" s="1"/>
  <c r="J495" i="2" s="1"/>
  <c r="J496" i="2" s="1"/>
  <c r="J497" i="2" s="1"/>
  <c r="J498" i="2" s="1"/>
  <c r="J499" i="2" s="1"/>
  <c r="J500" i="2" s="1"/>
  <c r="J501" i="2" s="1"/>
  <c r="J502" i="2" s="1"/>
  <c r="J503" i="2" s="1"/>
  <c r="J504" i="2" s="1"/>
  <c r="J505" i="2" s="1"/>
  <c r="J506" i="2" s="1"/>
  <c r="J507" i="2" s="1"/>
  <c r="J508" i="2" s="1"/>
  <c r="J509" i="2" s="1"/>
  <c r="J510" i="2" s="1"/>
  <c r="J511" i="2" s="1"/>
  <c r="J512" i="2" s="1"/>
  <c r="J513" i="2" s="1"/>
  <c r="J514" i="2" s="1"/>
  <c r="J515" i="2" s="1"/>
  <c r="J516" i="2" s="1"/>
  <c r="J517" i="2" s="1"/>
  <c r="J518" i="2" s="1"/>
  <c r="J519" i="2" s="1"/>
  <c r="J520" i="2" s="1"/>
  <c r="J521" i="2" s="1"/>
  <c r="J522" i="2" s="1"/>
  <c r="J523" i="2" s="1"/>
  <c r="J524" i="2" s="1"/>
  <c r="J525" i="2" s="1"/>
  <c r="J526" i="2" s="1"/>
  <c r="J527" i="2" s="1"/>
  <c r="J528" i="2" s="1"/>
  <c r="J529" i="2" s="1"/>
  <c r="J530" i="2" s="1"/>
  <c r="J531" i="2" s="1"/>
  <c r="J532" i="2" s="1"/>
  <c r="J533" i="2" s="1"/>
  <c r="J534" i="2" s="1"/>
  <c r="J535" i="2" s="1"/>
  <c r="J536" i="2" s="1"/>
  <c r="J537" i="2" s="1"/>
  <c r="J538" i="2" s="1"/>
  <c r="J539" i="2" s="1"/>
  <c r="J540" i="2" s="1"/>
  <c r="J541" i="2" s="1"/>
  <c r="J542" i="2" s="1"/>
  <c r="J543" i="2" s="1"/>
  <c r="J544" i="2" s="1"/>
  <c r="J545" i="2" s="1"/>
  <c r="J546" i="2" s="1"/>
  <c r="J547" i="2" s="1"/>
  <c r="J548" i="2" s="1"/>
  <c r="J549" i="2" s="1"/>
  <c r="J550" i="2" s="1"/>
  <c r="J551" i="2" s="1"/>
  <c r="J552" i="2" s="1"/>
  <c r="J553" i="2" s="1"/>
  <c r="J554" i="2" s="1"/>
  <c r="J557" i="2" s="1"/>
  <c r="J558" i="2" s="1"/>
  <c r="J559" i="2" s="1"/>
  <c r="J560" i="2" s="1"/>
  <c r="J561" i="2" s="1"/>
  <c r="J562" i="2" s="1"/>
  <c r="J563" i="2" s="1"/>
  <c r="J564" i="2" s="1"/>
  <c r="J565" i="2" s="1"/>
  <c r="J566" i="2" s="1"/>
  <c r="J567" i="2" s="1"/>
  <c r="J568" i="2" s="1"/>
  <c r="J569" i="2" s="1"/>
  <c r="J570" i="2" s="1"/>
  <c r="J571" i="2" s="1"/>
  <c r="J572" i="2" s="1"/>
  <c r="J573" i="2" s="1"/>
  <c r="J574" i="2" s="1"/>
  <c r="J575" i="2" s="1"/>
  <c r="J576" i="2" s="1"/>
  <c r="J577" i="2" s="1"/>
  <c r="J578" i="2" s="1"/>
  <c r="J579" i="2" s="1"/>
  <c r="J580" i="2" s="1"/>
  <c r="J581" i="2" s="1"/>
  <c r="J582" i="2" s="1"/>
  <c r="J583" i="2" s="1"/>
  <c r="J584" i="2" s="1"/>
  <c r="J585" i="2" s="1"/>
  <c r="J586" i="2" s="1"/>
  <c r="J587" i="2" s="1"/>
  <c r="J588" i="2" s="1"/>
  <c r="J589" i="2" s="1"/>
  <c r="J590" i="2" s="1"/>
  <c r="J591" i="2" s="1"/>
  <c r="J592" i="2" s="1"/>
  <c r="J593" i="2" s="1"/>
  <c r="J594" i="2" s="1"/>
  <c r="J595" i="2" s="1"/>
  <c r="J596" i="2" s="1"/>
  <c r="J597" i="2" s="1"/>
  <c r="J598" i="2" s="1"/>
  <c r="J599" i="2" s="1"/>
  <c r="J600" i="2" s="1"/>
  <c r="J601" i="2" s="1"/>
  <c r="J602" i="2" s="1"/>
  <c r="J603" i="2" s="1"/>
  <c r="J604" i="2" s="1"/>
  <c r="J605" i="2" s="1"/>
  <c r="J606" i="2" s="1"/>
  <c r="J607" i="2" s="1"/>
  <c r="J608" i="2" s="1"/>
  <c r="J609" i="2" s="1"/>
  <c r="J610" i="2" s="1"/>
  <c r="J611" i="2" s="1"/>
  <c r="J612" i="2" s="1"/>
  <c r="J613" i="2" s="1"/>
  <c r="J614" i="2" s="1"/>
  <c r="J615" i="2" s="1"/>
  <c r="J616" i="2" s="1"/>
  <c r="J617" i="2" s="1"/>
  <c r="J618" i="2" s="1"/>
  <c r="J619" i="2" s="1"/>
  <c r="B78" i="2"/>
  <c r="A77" i="2"/>
  <c r="B203" i="2"/>
  <c r="A202" i="2"/>
  <c r="J555" i="2" l="1"/>
  <c r="A78" i="2"/>
  <c r="B79" i="2"/>
  <c r="B204" i="2"/>
  <c r="A203" i="2"/>
  <c r="B80" i="2" l="1"/>
  <c r="A79" i="2"/>
  <c r="B205" i="2"/>
  <c r="A204" i="2"/>
  <c r="A80" i="2" l="1"/>
  <c r="B81" i="2"/>
  <c r="B206" i="2"/>
  <c r="A205" i="2"/>
  <c r="A81" i="2" l="1"/>
  <c r="B82" i="2"/>
  <c r="B207" i="2"/>
  <c r="A206" i="2"/>
  <c r="A82" i="2" l="1"/>
  <c r="B83" i="2"/>
  <c r="B208" i="2"/>
  <c r="A207" i="2"/>
  <c r="B84" i="2" l="1"/>
  <c r="A83" i="2"/>
  <c r="B209" i="2"/>
  <c r="A208" i="2"/>
  <c r="B85" i="2" l="1"/>
  <c r="A84" i="2"/>
  <c r="B210" i="2"/>
  <c r="A209" i="2"/>
  <c r="A85" i="2" l="1"/>
  <c r="B86" i="2"/>
  <c r="B211" i="2"/>
  <c r="A210" i="2"/>
  <c r="A86" i="2" l="1"/>
  <c r="B87" i="2"/>
  <c r="A211" i="2"/>
  <c r="B212" i="2"/>
  <c r="B88" i="2" l="1"/>
  <c r="A87" i="2"/>
  <c r="B213" i="2"/>
  <c r="A212" i="2"/>
  <c r="A88" i="2" l="1"/>
  <c r="B89" i="2"/>
  <c r="B214" i="2"/>
  <c r="A213" i="2"/>
  <c r="B90" i="2" l="1"/>
  <c r="A89" i="2"/>
  <c r="B215" i="2"/>
  <c r="A214" i="2"/>
  <c r="A90" i="2" l="1"/>
  <c r="B91" i="2"/>
  <c r="B216" i="2"/>
  <c r="A215" i="2"/>
  <c r="B92" i="2" l="1"/>
  <c r="A91" i="2"/>
  <c r="B217" i="2"/>
  <c r="A216" i="2"/>
  <c r="B93" i="2" l="1"/>
  <c r="A92" i="2"/>
  <c r="B218" i="2"/>
  <c r="A217" i="2"/>
  <c r="A93" i="2" l="1"/>
  <c r="B94" i="2"/>
  <c r="A218" i="2"/>
  <c r="B219" i="2"/>
  <c r="B95" i="2" l="1"/>
  <c r="A94" i="2"/>
  <c r="B220" i="2"/>
  <c r="A219" i="2"/>
  <c r="A95" i="2" l="1"/>
  <c r="B96" i="2"/>
  <c r="B221" i="2"/>
  <c r="A220" i="2"/>
  <c r="B97" i="2" l="1"/>
  <c r="A96" i="2"/>
  <c r="B222" i="2"/>
  <c r="A221" i="2"/>
  <c r="A97" i="2" l="1"/>
  <c r="B98" i="2"/>
  <c r="B223" i="2"/>
  <c r="A222" i="2"/>
  <c r="B99" i="2" l="1"/>
  <c r="A98" i="2"/>
  <c r="B224" i="2"/>
  <c r="A223" i="2"/>
  <c r="A99" i="2" l="1"/>
  <c r="B100" i="2"/>
  <c r="B225" i="2"/>
  <c r="A224" i="2"/>
  <c r="A100" i="2" l="1"/>
  <c r="B101" i="2"/>
  <c r="A225" i="2"/>
  <c r="B226" i="2"/>
  <c r="A101" i="2" l="1"/>
  <c r="B102" i="2"/>
  <c r="B227" i="2"/>
  <c r="A226" i="2"/>
  <c r="A102" i="2" l="1"/>
  <c r="B103" i="2"/>
  <c r="B228" i="2"/>
  <c r="A227" i="2"/>
  <c r="B104" i="2" l="1"/>
  <c r="A103" i="2"/>
  <c r="B229" i="2"/>
  <c r="A228" i="2"/>
  <c r="A104" i="2" l="1"/>
  <c r="B105" i="2"/>
  <c r="B230" i="2"/>
  <c r="A229" i="2"/>
  <c r="B106" i="2" l="1"/>
  <c r="A105" i="2"/>
  <c r="A230" i="2"/>
  <c r="B231" i="2"/>
  <c r="A106" i="2" l="1"/>
  <c r="B107" i="2"/>
  <c r="B232" i="2"/>
  <c r="A231" i="2"/>
  <c r="A107" i="2" l="1"/>
  <c r="B108" i="2"/>
  <c r="B233" i="2"/>
  <c r="A232" i="2"/>
  <c r="B109" i="2" l="1"/>
  <c r="A108" i="2"/>
  <c r="B234" i="2"/>
  <c r="A233" i="2"/>
  <c r="A109" i="2" l="1"/>
  <c r="B110" i="2"/>
  <c r="B235" i="2"/>
  <c r="A234" i="2"/>
  <c r="B111" i="2" l="1"/>
  <c r="A110" i="2"/>
  <c r="B236" i="2"/>
  <c r="A235" i="2"/>
  <c r="A111" i="2" l="1"/>
  <c r="B112" i="2"/>
  <c r="B237" i="2"/>
  <c r="A236" i="2"/>
  <c r="A112" i="2" l="1"/>
  <c r="B113" i="2"/>
  <c r="B238" i="2"/>
  <c r="A237" i="2"/>
  <c r="A113" i="2" l="1"/>
  <c r="B114" i="2"/>
  <c r="B239" i="2"/>
  <c r="A238" i="2"/>
  <c r="B115" i="2" l="1"/>
  <c r="A114" i="2"/>
  <c r="A239" i="2"/>
  <c r="B240" i="2"/>
  <c r="A115" i="2" l="1"/>
  <c r="B116" i="2"/>
  <c r="B241" i="2"/>
  <c r="A240" i="2"/>
  <c r="A116" i="2" l="1"/>
  <c r="B117" i="2"/>
  <c r="B242" i="2"/>
  <c r="A241" i="2"/>
  <c r="B118" i="2" l="1"/>
  <c r="A117" i="2"/>
  <c r="B243" i="2"/>
  <c r="A242" i="2"/>
  <c r="A118" i="2" l="1"/>
  <c r="B119" i="2"/>
  <c r="B244" i="2"/>
  <c r="A243" i="2"/>
  <c r="B120" i="2" l="1"/>
  <c r="A119" i="2"/>
  <c r="B245" i="2"/>
  <c r="A244" i="2"/>
  <c r="A120" i="2" l="1"/>
  <c r="B121" i="2"/>
  <c r="B246" i="2"/>
  <c r="A245" i="2"/>
  <c r="A121" i="2" l="1"/>
  <c r="B122" i="2"/>
  <c r="A246" i="2"/>
  <c r="B247" i="2"/>
  <c r="B123" i="2" l="1"/>
  <c r="A122" i="2"/>
  <c r="B248" i="2"/>
  <c r="A247" i="2"/>
  <c r="A123" i="2" l="1"/>
  <c r="B124" i="2"/>
  <c r="B249" i="2"/>
  <c r="A248" i="2"/>
  <c r="B125" i="2" l="1"/>
  <c r="A124" i="2"/>
  <c r="B250" i="2"/>
  <c r="A249" i="2"/>
  <c r="B126" i="2" l="1"/>
  <c r="A125" i="2"/>
  <c r="B251" i="2"/>
  <c r="A250" i="2"/>
  <c r="A126" i="2" l="1"/>
  <c r="B127" i="2"/>
  <c r="A251" i="2"/>
  <c r="B252" i="2"/>
  <c r="B128" i="2" l="1"/>
  <c r="A127" i="2"/>
  <c r="B253" i="2"/>
  <c r="A252" i="2"/>
  <c r="A128" i="2" l="1"/>
  <c r="B129" i="2"/>
  <c r="B254" i="2"/>
  <c r="A253" i="2"/>
  <c r="B130" i="2" l="1"/>
  <c r="A129" i="2"/>
  <c r="B255" i="2"/>
  <c r="A254" i="2"/>
  <c r="A130" i="2" l="1"/>
  <c r="B131" i="2"/>
  <c r="B256" i="2"/>
  <c r="A255" i="2"/>
  <c r="B132" i="2" l="1"/>
  <c r="A131" i="2"/>
  <c r="B257" i="2"/>
  <c r="A256" i="2"/>
  <c r="A132" i="2" l="1"/>
  <c r="B133" i="2"/>
  <c r="B258" i="2"/>
  <c r="A257" i="2"/>
  <c r="B134" i="2" l="1"/>
  <c r="A133" i="2"/>
  <c r="B259" i="2"/>
  <c r="A258" i="2"/>
  <c r="A134" i="2" l="1"/>
  <c r="B135" i="2"/>
  <c r="A259" i="2"/>
  <c r="B260" i="2"/>
  <c r="A135" i="2" l="1"/>
  <c r="B136" i="2"/>
  <c r="B261" i="2"/>
  <c r="A260" i="2"/>
  <c r="A136" i="2" l="1"/>
  <c r="B137" i="2"/>
  <c r="B262" i="2"/>
  <c r="A261" i="2"/>
  <c r="A137" i="2" l="1"/>
  <c r="B138" i="2"/>
  <c r="B263" i="2"/>
  <c r="A262" i="2"/>
  <c r="B139" i="2" l="1"/>
  <c r="A138" i="2"/>
  <c r="B264" i="2"/>
  <c r="A263" i="2"/>
  <c r="B140" i="2" l="1"/>
  <c r="A139" i="2"/>
  <c r="B265" i="2"/>
  <c r="A264" i="2"/>
  <c r="B141" i="2" l="1"/>
  <c r="A140" i="2"/>
  <c r="B266" i="2"/>
  <c r="A265" i="2"/>
  <c r="A141" i="2" l="1"/>
  <c r="B142" i="2"/>
  <c r="A266" i="2"/>
  <c r="B267" i="2"/>
  <c r="A142" i="2" l="1"/>
  <c r="B143" i="2"/>
  <c r="A267" i="2"/>
  <c r="B268" i="2"/>
  <c r="B144" i="2" l="1"/>
  <c r="A143" i="2"/>
  <c r="B269" i="2"/>
  <c r="A268" i="2"/>
  <c r="A144" i="2" l="1"/>
  <c r="B145" i="2"/>
  <c r="B270" i="2"/>
  <c r="A269" i="2"/>
  <c r="B146" i="2" l="1"/>
  <c r="A145" i="2"/>
  <c r="B271" i="2"/>
  <c r="A270" i="2"/>
  <c r="A146" i="2" l="1"/>
  <c r="B147" i="2"/>
  <c r="B272" i="2"/>
  <c r="A271" i="2"/>
  <c r="A147" i="2" l="1"/>
  <c r="B148" i="2"/>
  <c r="B273" i="2"/>
  <c r="A272" i="2"/>
  <c r="A148" i="2" l="1"/>
  <c r="B149" i="2"/>
  <c r="B274" i="2"/>
  <c r="A273" i="2"/>
  <c r="A149" i="2" l="1"/>
  <c r="B150" i="2"/>
  <c r="B275" i="2"/>
  <c r="A274" i="2"/>
  <c r="A150" i="2" l="1"/>
  <c r="B151" i="2"/>
  <c r="B276" i="2"/>
  <c r="A275" i="2"/>
  <c r="A151" i="2" l="1"/>
  <c r="B152" i="2"/>
  <c r="B277" i="2"/>
  <c r="A276" i="2"/>
  <c r="A152" i="2" l="1"/>
  <c r="B153" i="2"/>
  <c r="B278" i="2"/>
  <c r="A277" i="2"/>
  <c r="A153" i="2" l="1"/>
  <c r="B154" i="2"/>
  <c r="B279" i="2"/>
  <c r="A278" i="2"/>
  <c r="B155" i="2" l="1"/>
  <c r="A154" i="2"/>
  <c r="B280" i="2"/>
  <c r="A279" i="2"/>
  <c r="A155" i="2" l="1"/>
  <c r="B156" i="2"/>
  <c r="B281" i="2"/>
  <c r="A280" i="2"/>
  <c r="A156" i="2" l="1"/>
  <c r="B157" i="2"/>
  <c r="B282" i="2"/>
  <c r="A281" i="2"/>
  <c r="B158" i="2" l="1"/>
  <c r="A157" i="2"/>
  <c r="B283" i="2"/>
  <c r="A282" i="2"/>
  <c r="A158" i="2" l="1"/>
  <c r="B159" i="2"/>
  <c r="B284" i="2"/>
  <c r="A283" i="2"/>
  <c r="B160" i="2" l="1"/>
  <c r="A159" i="2"/>
  <c r="B285" i="2"/>
  <c r="A284" i="2"/>
  <c r="A160" i="2" l="1"/>
  <c r="B161" i="2"/>
  <c r="B286" i="2"/>
  <c r="A285" i="2"/>
  <c r="B162" i="2" l="1"/>
  <c r="A161" i="2"/>
  <c r="B287" i="2"/>
  <c r="A286" i="2"/>
  <c r="B163" i="2" l="1"/>
  <c r="A162" i="2"/>
  <c r="B288" i="2"/>
  <c r="A287" i="2"/>
  <c r="A163" i="2" l="1"/>
  <c r="B164" i="2"/>
  <c r="B289" i="2"/>
  <c r="A288" i="2"/>
  <c r="B165" i="2" l="1"/>
  <c r="A164" i="2"/>
  <c r="B290" i="2"/>
  <c r="A289" i="2"/>
  <c r="A165" i="2" l="1"/>
  <c r="B166" i="2"/>
  <c r="B291" i="2"/>
  <c r="A290" i="2"/>
  <c r="B167" i="2" l="1"/>
  <c r="A166" i="2"/>
  <c r="B292" i="2"/>
  <c r="A291" i="2"/>
  <c r="B168" i="2" l="1"/>
  <c r="A167" i="2"/>
  <c r="B293" i="2"/>
  <c r="A292" i="2"/>
  <c r="B169" i="2" l="1"/>
  <c r="A168" i="2"/>
  <c r="B294" i="2"/>
  <c r="A293" i="2"/>
  <c r="B170" i="2" l="1"/>
  <c r="A169" i="2"/>
  <c r="B295" i="2"/>
  <c r="A294" i="2"/>
  <c r="B171" i="2" l="1"/>
  <c r="A170" i="2"/>
  <c r="B296" i="2"/>
  <c r="A295" i="2"/>
  <c r="B172" i="2" l="1"/>
  <c r="A171" i="2"/>
  <c r="B297" i="2"/>
  <c r="A296" i="2"/>
  <c r="B173" i="2" l="1"/>
  <c r="A172" i="2"/>
  <c r="B298" i="2"/>
  <c r="A297" i="2"/>
  <c r="B174" i="2" l="1"/>
  <c r="A173" i="2"/>
  <c r="B299" i="2"/>
  <c r="A298" i="2"/>
  <c r="B175" i="2" l="1"/>
  <c r="A174" i="2"/>
  <c r="B300" i="2"/>
  <c r="A299" i="2"/>
  <c r="B176" i="2" l="1"/>
  <c r="A175" i="2"/>
  <c r="B301" i="2"/>
  <c r="A300" i="2"/>
  <c r="B177" i="2" l="1"/>
  <c r="A176" i="2"/>
  <c r="B302" i="2"/>
  <c r="A301" i="2"/>
  <c r="B178" i="2" l="1"/>
  <c r="A177" i="2"/>
  <c r="B303" i="2"/>
  <c r="A302" i="2"/>
  <c r="B179" i="2" l="1"/>
  <c r="A178" i="2"/>
  <c r="B304" i="2"/>
  <c r="A303" i="2"/>
  <c r="A179" i="2" l="1"/>
  <c r="B180" i="2"/>
  <c r="B305" i="2"/>
  <c r="A304" i="2"/>
  <c r="B181" i="2" l="1"/>
  <c r="A180" i="2"/>
  <c r="B306" i="2"/>
  <c r="A305" i="2"/>
  <c r="B182" i="2" l="1"/>
  <c r="A181" i="2"/>
  <c r="B307" i="2"/>
  <c r="A306" i="2"/>
  <c r="A182" i="2" l="1"/>
  <c r="B183" i="2"/>
  <c r="B308" i="2"/>
  <c r="A307" i="2"/>
  <c r="B184" i="2" l="1"/>
  <c r="A183" i="2"/>
  <c r="B309" i="2"/>
  <c r="A308" i="2"/>
  <c r="A184" i="2" l="1"/>
  <c r="B185" i="2"/>
  <c r="B310" i="2"/>
  <c r="A309" i="2"/>
  <c r="B186" i="2" l="1"/>
  <c r="A185" i="2"/>
  <c r="B311" i="2"/>
  <c r="A310" i="2"/>
  <c r="A186" i="2" l="1"/>
  <c r="B312" i="2"/>
  <c r="A311" i="2"/>
  <c r="B313" i="2" l="1"/>
  <c r="A312" i="2"/>
  <c r="B314" i="2" l="1"/>
  <c r="A313" i="2"/>
  <c r="B315" i="2" l="1"/>
  <c r="A314" i="2"/>
  <c r="B316" i="2" l="1"/>
  <c r="A315" i="2"/>
  <c r="B317" i="2" l="1"/>
  <c r="A316" i="2"/>
  <c r="B318" i="2" l="1"/>
  <c r="A317" i="2"/>
  <c r="B319" i="2" l="1"/>
  <c r="A318" i="2"/>
  <c r="B320" i="2" l="1"/>
  <c r="A319" i="2"/>
  <c r="A320" i="2" l="1"/>
  <c r="B321" i="2"/>
  <c r="B322" i="2" l="1"/>
  <c r="A321" i="2"/>
  <c r="B323" i="2" l="1"/>
  <c r="A322" i="2"/>
  <c r="B324" i="2" l="1"/>
  <c r="A323" i="2"/>
  <c r="B325" i="2" l="1"/>
  <c r="A324" i="2"/>
  <c r="B326" i="2" l="1"/>
  <c r="A325" i="2"/>
  <c r="B327" i="2" l="1"/>
  <c r="A326" i="2"/>
  <c r="B328" i="2" l="1"/>
  <c r="A327" i="2"/>
  <c r="A328" i="2" l="1"/>
  <c r="B329" i="2"/>
  <c r="B330" i="2" l="1"/>
  <c r="A329" i="2"/>
  <c r="B331" i="2" l="1"/>
  <c r="A330" i="2"/>
  <c r="B332" i="2" l="1"/>
  <c r="A331" i="2"/>
  <c r="B333" i="2" l="1"/>
  <c r="A332" i="2"/>
  <c r="B334" i="2" l="1"/>
  <c r="A333" i="2"/>
  <c r="B335" i="2" l="1"/>
  <c r="A334" i="2"/>
  <c r="A335" i="2" l="1"/>
  <c r="B336" i="2"/>
  <c r="A336" i="2" l="1"/>
  <c r="B337" i="2"/>
  <c r="B338" i="2" l="1"/>
  <c r="A337" i="2"/>
  <c r="B339" i="2" l="1"/>
  <c r="A338" i="2"/>
  <c r="B340" i="2" l="1"/>
  <c r="A339" i="2"/>
  <c r="B341" i="2" l="1"/>
  <c r="A340" i="2"/>
  <c r="B342" i="2" l="1"/>
  <c r="A341" i="2"/>
  <c r="B343" i="2" l="1"/>
  <c r="A342" i="2"/>
  <c r="B344" i="2" l="1"/>
  <c r="A343" i="2"/>
  <c r="B345" i="2" l="1"/>
  <c r="A344" i="2"/>
  <c r="B346" i="2" l="1"/>
  <c r="A345" i="2"/>
  <c r="B347" i="2" l="1"/>
  <c r="A346" i="2"/>
  <c r="B348" i="2" l="1"/>
  <c r="A347" i="2"/>
  <c r="B349" i="2" l="1"/>
  <c r="A348" i="2"/>
  <c r="B350" i="2" l="1"/>
  <c r="A349" i="2"/>
  <c r="B351" i="2" l="1"/>
  <c r="A350" i="2"/>
  <c r="B352" i="2" l="1"/>
  <c r="A351" i="2"/>
  <c r="B353" i="2" l="1"/>
  <c r="A352" i="2"/>
  <c r="B354" i="2" l="1"/>
  <c r="A353" i="2"/>
  <c r="B355" i="2" l="1"/>
  <c r="A354" i="2"/>
  <c r="B356" i="2" l="1"/>
  <c r="A355" i="2"/>
  <c r="B357" i="2" l="1"/>
  <c r="A356" i="2"/>
  <c r="B358" i="2" l="1"/>
  <c r="A357" i="2"/>
  <c r="B359" i="2" l="1"/>
  <c r="A358" i="2"/>
  <c r="B360" i="2" l="1"/>
  <c r="A359" i="2"/>
  <c r="B361" i="2" l="1"/>
  <c r="A360" i="2"/>
  <c r="B362" i="2" l="1"/>
  <c r="A361" i="2"/>
  <c r="B363" i="2" l="1"/>
  <c r="A362" i="2"/>
  <c r="B364" i="2" l="1"/>
  <c r="A363" i="2"/>
  <c r="B365" i="2" l="1"/>
  <c r="A364" i="2"/>
  <c r="B366" i="2" l="1"/>
  <c r="A365" i="2"/>
  <c r="B367" i="2" l="1"/>
  <c r="A366" i="2"/>
  <c r="B368" i="2" l="1"/>
  <c r="A367" i="2"/>
  <c r="B369" i="2" l="1"/>
  <c r="A368" i="2"/>
  <c r="B370" i="2" l="1"/>
  <c r="A369" i="2"/>
  <c r="B371" i="2" l="1"/>
  <c r="A370" i="2"/>
  <c r="B372" i="2" l="1"/>
  <c r="A371" i="2"/>
  <c r="B373" i="2" l="1"/>
  <c r="A372" i="2"/>
  <c r="B374" i="2" l="1"/>
  <c r="A373" i="2"/>
  <c r="B375" i="2" l="1"/>
  <c r="A374" i="2"/>
  <c r="B376" i="2" l="1"/>
  <c r="A375" i="2"/>
  <c r="B377" i="2" l="1"/>
  <c r="A376" i="2"/>
  <c r="B378" i="2" l="1"/>
  <c r="A377" i="2"/>
  <c r="B379" i="2" l="1"/>
  <c r="A378" i="2"/>
  <c r="B380" i="2" l="1"/>
  <c r="A379" i="2"/>
  <c r="B381" i="2" l="1"/>
  <c r="A380" i="2"/>
  <c r="B382" i="2" l="1"/>
  <c r="A381" i="2"/>
  <c r="B383" i="2" l="1"/>
  <c r="A382" i="2"/>
  <c r="B384" i="2" l="1"/>
  <c r="A383" i="2"/>
  <c r="A384" i="2" l="1"/>
  <c r="B385" i="2"/>
  <c r="B386" i="2" l="1"/>
  <c r="A385" i="2"/>
  <c r="B387" i="2" l="1"/>
  <c r="A386" i="2"/>
  <c r="B388" i="2" l="1"/>
  <c r="A387" i="2"/>
  <c r="B389" i="2" l="1"/>
  <c r="A388" i="2"/>
  <c r="A389" i="2" l="1"/>
  <c r="B390" i="2"/>
  <c r="B391" i="2" l="1"/>
  <c r="A390" i="2"/>
  <c r="B392" i="2" l="1"/>
  <c r="A391" i="2"/>
  <c r="B393" i="2" l="1"/>
  <c r="A392" i="2"/>
  <c r="B394" i="2" l="1"/>
  <c r="A393" i="2"/>
  <c r="B395" i="2" l="1"/>
  <c r="A394" i="2"/>
  <c r="B396" i="2" l="1"/>
  <c r="A395" i="2"/>
  <c r="B397" i="2" l="1"/>
  <c r="A396" i="2"/>
  <c r="A397" i="2" l="1"/>
  <c r="B398" i="2"/>
  <c r="B399" i="2" l="1"/>
  <c r="A398" i="2"/>
  <c r="B400" i="2" l="1"/>
  <c r="A399" i="2"/>
  <c r="B401" i="2" l="1"/>
  <c r="A400" i="2"/>
  <c r="B402" i="2" l="1"/>
  <c r="A401" i="2"/>
  <c r="B403" i="2" l="1"/>
  <c r="A402" i="2"/>
  <c r="B404" i="2" l="1"/>
  <c r="A403" i="2"/>
  <c r="A404" i="2" l="1"/>
  <c r="B405" i="2"/>
  <c r="A405" i="2" l="1"/>
  <c r="B406" i="2"/>
  <c r="B407" i="2" l="1"/>
  <c r="A406" i="2"/>
  <c r="B408" i="2" l="1"/>
  <c r="A407" i="2"/>
  <c r="B409" i="2" l="1"/>
  <c r="A408" i="2"/>
  <c r="B410" i="2" l="1"/>
  <c r="A409" i="2"/>
  <c r="B411" i="2" l="1"/>
  <c r="A410" i="2"/>
  <c r="B412" i="2" l="1"/>
  <c r="A411" i="2"/>
  <c r="B413" i="2" l="1"/>
  <c r="A412" i="2"/>
  <c r="B414" i="2" l="1"/>
  <c r="A413" i="2"/>
  <c r="B415" i="2" l="1"/>
  <c r="A414" i="2"/>
  <c r="B416" i="2" l="1"/>
  <c r="A415" i="2"/>
  <c r="B417" i="2" l="1"/>
  <c r="A416" i="2"/>
  <c r="B418" i="2" l="1"/>
  <c r="A417" i="2"/>
  <c r="B419" i="2" l="1"/>
  <c r="A418" i="2"/>
  <c r="B420" i="2" l="1"/>
  <c r="A419" i="2"/>
  <c r="B421" i="2" l="1"/>
  <c r="A420" i="2"/>
  <c r="B422" i="2" l="1"/>
  <c r="A421" i="2"/>
  <c r="B423" i="2" l="1"/>
  <c r="A422" i="2"/>
  <c r="B424" i="2" l="1"/>
  <c r="A423" i="2"/>
  <c r="B425" i="2" l="1"/>
  <c r="A424" i="2"/>
  <c r="B426" i="2" l="1"/>
  <c r="A425" i="2"/>
  <c r="B427" i="2" l="1"/>
  <c r="A426" i="2"/>
  <c r="B428" i="2" l="1"/>
  <c r="A427" i="2"/>
  <c r="B429" i="2" l="1"/>
  <c r="A428" i="2"/>
  <c r="B430" i="2" l="1"/>
  <c r="A429" i="2"/>
  <c r="B431" i="2" l="1"/>
  <c r="A430" i="2"/>
  <c r="B432" i="2" l="1"/>
  <c r="A431" i="2"/>
  <c r="B433" i="2" l="1"/>
  <c r="A432" i="2"/>
  <c r="B434" i="2" l="1"/>
  <c r="A433" i="2"/>
  <c r="B435" i="2" l="1"/>
  <c r="A434" i="2"/>
  <c r="B436" i="2" l="1"/>
  <c r="A435" i="2"/>
  <c r="B437" i="2" l="1"/>
  <c r="A436" i="2"/>
  <c r="B438" i="2" l="1"/>
  <c r="A437" i="2"/>
  <c r="B439" i="2" l="1"/>
  <c r="A438" i="2"/>
  <c r="B440" i="2" l="1"/>
  <c r="A439" i="2"/>
  <c r="B441" i="2" l="1"/>
  <c r="A440" i="2"/>
  <c r="B442" i="2" l="1"/>
  <c r="A441" i="2"/>
  <c r="B443" i="2" l="1"/>
  <c r="A442" i="2"/>
  <c r="B444" i="2" l="1"/>
  <c r="A443" i="2"/>
  <c r="B445" i="2" l="1"/>
  <c r="A444" i="2"/>
  <c r="B446" i="2" l="1"/>
  <c r="A445" i="2"/>
  <c r="B447" i="2" l="1"/>
  <c r="A446" i="2"/>
  <c r="B448" i="2" l="1"/>
  <c r="A447" i="2"/>
  <c r="B449" i="2" l="1"/>
  <c r="A448" i="2"/>
  <c r="B450" i="2" l="1"/>
  <c r="A449" i="2"/>
  <c r="B451" i="2" l="1"/>
  <c r="A450" i="2"/>
  <c r="B452" i="2" l="1"/>
  <c r="A451" i="2"/>
  <c r="B453" i="2" l="1"/>
  <c r="A452" i="2"/>
  <c r="A453" i="2" l="1"/>
  <c r="B454" i="2"/>
  <c r="B455" i="2" l="1"/>
  <c r="A454" i="2"/>
  <c r="B456" i="2" l="1"/>
  <c r="A455" i="2"/>
  <c r="B457" i="2" l="1"/>
  <c r="A456" i="2"/>
  <c r="B458" i="2" l="1"/>
  <c r="A457" i="2"/>
  <c r="A458" i="2" l="1"/>
  <c r="B459" i="2"/>
  <c r="B460" i="2" l="1"/>
  <c r="A459" i="2"/>
  <c r="B461" i="2" l="1"/>
  <c r="A460" i="2"/>
  <c r="B462" i="2" l="1"/>
  <c r="A461" i="2"/>
  <c r="B463" i="2" l="1"/>
  <c r="A462" i="2"/>
  <c r="B464" i="2" l="1"/>
  <c r="A463" i="2"/>
  <c r="B465" i="2" l="1"/>
  <c r="A464" i="2"/>
  <c r="B466" i="2" l="1"/>
  <c r="A465" i="2"/>
  <c r="A466" i="2" l="1"/>
  <c r="B467" i="2"/>
  <c r="B468" i="2" l="1"/>
  <c r="A467" i="2"/>
  <c r="B469" i="2" l="1"/>
  <c r="A468" i="2"/>
  <c r="B470" i="2" l="1"/>
  <c r="A469" i="2"/>
  <c r="B471" i="2" l="1"/>
  <c r="A470" i="2"/>
  <c r="B472" i="2" l="1"/>
  <c r="A471" i="2"/>
  <c r="B473" i="2" l="1"/>
  <c r="A472" i="2"/>
  <c r="A473" i="2" l="1"/>
  <c r="B474" i="2"/>
  <c r="A474" i="2" l="1"/>
  <c r="B475" i="2"/>
  <c r="B476" i="2" l="1"/>
  <c r="A475" i="2"/>
  <c r="B477" i="2" l="1"/>
  <c r="A476" i="2"/>
  <c r="B478" i="2" l="1"/>
  <c r="A477" i="2"/>
  <c r="B479" i="2" l="1"/>
  <c r="A478" i="2"/>
  <c r="B480" i="2" l="1"/>
  <c r="A479" i="2"/>
  <c r="B481" i="2" l="1"/>
  <c r="A480" i="2"/>
  <c r="B482" i="2" l="1"/>
  <c r="A481" i="2"/>
  <c r="B483" i="2" l="1"/>
  <c r="A482" i="2"/>
  <c r="B484" i="2" l="1"/>
  <c r="A483" i="2"/>
  <c r="B485" i="2" l="1"/>
  <c r="A484" i="2"/>
  <c r="B486" i="2" l="1"/>
  <c r="A485" i="2"/>
  <c r="B487" i="2" l="1"/>
  <c r="A486" i="2"/>
  <c r="A487" i="2" l="1"/>
  <c r="B488" i="2"/>
  <c r="B489" i="2" l="1"/>
  <c r="A488" i="2"/>
  <c r="B490" i="2" l="1"/>
  <c r="A489" i="2"/>
  <c r="B491" i="2" l="1"/>
  <c r="A490" i="2"/>
  <c r="B492" i="2" l="1"/>
  <c r="A491" i="2"/>
  <c r="B493" i="2" l="1"/>
  <c r="A492" i="2"/>
  <c r="B494" i="2" l="1"/>
  <c r="A493" i="2"/>
  <c r="B495" i="2" l="1"/>
  <c r="A494" i="2"/>
  <c r="B496" i="2" l="1"/>
  <c r="A495" i="2"/>
  <c r="B497" i="2" l="1"/>
  <c r="A496" i="2"/>
  <c r="B498" i="2" l="1"/>
  <c r="A497" i="2"/>
  <c r="B499" i="2" l="1"/>
  <c r="A498" i="2"/>
  <c r="B500" i="2" l="1"/>
  <c r="A499" i="2"/>
  <c r="B501" i="2" l="1"/>
  <c r="A500" i="2"/>
  <c r="B502" i="2" l="1"/>
  <c r="A501" i="2"/>
  <c r="B503" i="2" l="1"/>
  <c r="A502" i="2"/>
  <c r="B504" i="2" l="1"/>
  <c r="A503" i="2"/>
  <c r="B505" i="2" l="1"/>
  <c r="A504" i="2"/>
  <c r="B506" i="2" l="1"/>
  <c r="A505" i="2"/>
  <c r="B507" i="2" l="1"/>
  <c r="A506" i="2"/>
  <c r="B508" i="2" l="1"/>
  <c r="A507" i="2"/>
  <c r="B509" i="2" l="1"/>
  <c r="A508" i="2"/>
  <c r="B510" i="2" l="1"/>
  <c r="A509" i="2"/>
  <c r="B511" i="2" l="1"/>
  <c r="A510" i="2"/>
  <c r="B512" i="2" l="1"/>
  <c r="A511" i="2"/>
  <c r="B513" i="2" l="1"/>
  <c r="A512" i="2"/>
  <c r="B514" i="2" l="1"/>
  <c r="A513" i="2"/>
  <c r="B515" i="2" l="1"/>
  <c r="A514" i="2"/>
  <c r="B516" i="2" l="1"/>
  <c r="A515" i="2"/>
  <c r="B517" i="2" l="1"/>
  <c r="A516" i="2"/>
  <c r="B518" i="2" l="1"/>
  <c r="A517" i="2"/>
  <c r="B519" i="2" l="1"/>
  <c r="A518" i="2"/>
  <c r="B520" i="2" l="1"/>
  <c r="A519" i="2"/>
  <c r="B521" i="2" l="1"/>
  <c r="A520" i="2"/>
  <c r="B522" i="2" l="1"/>
  <c r="A521" i="2"/>
  <c r="A522" i="2" l="1"/>
  <c r="B523" i="2"/>
  <c r="B524" i="2" l="1"/>
  <c r="A523" i="2"/>
  <c r="B525" i="2" l="1"/>
  <c r="A524" i="2"/>
  <c r="B526" i="2" l="1"/>
  <c r="A525" i="2"/>
  <c r="B527" i="2" l="1"/>
  <c r="A526" i="2"/>
  <c r="A527" i="2" l="1"/>
  <c r="B528" i="2"/>
  <c r="B529" i="2" l="1"/>
  <c r="A528" i="2"/>
  <c r="B530" i="2" l="1"/>
  <c r="A529" i="2"/>
  <c r="B531" i="2" l="1"/>
  <c r="A530" i="2"/>
  <c r="B532" i="2" l="1"/>
  <c r="A531" i="2"/>
  <c r="B533" i="2" l="1"/>
  <c r="A532" i="2"/>
  <c r="B534" i="2" l="1"/>
  <c r="A533" i="2"/>
  <c r="B535" i="2" l="1"/>
  <c r="A534" i="2"/>
  <c r="A535" i="2" l="1"/>
  <c r="B536" i="2"/>
  <c r="B537" i="2" l="1"/>
  <c r="A536" i="2"/>
  <c r="B538" i="2" l="1"/>
  <c r="A537" i="2"/>
  <c r="B539" i="2" l="1"/>
  <c r="A538" i="2"/>
  <c r="B540" i="2" l="1"/>
  <c r="A539" i="2"/>
  <c r="B541" i="2" l="1"/>
  <c r="A540" i="2"/>
  <c r="B542" i="2" l="1"/>
  <c r="A541" i="2"/>
  <c r="A542" i="2" l="1"/>
  <c r="B543" i="2"/>
  <c r="A543" i="2" l="1"/>
  <c r="B544" i="2"/>
  <c r="B545" i="2" l="1"/>
  <c r="A544" i="2"/>
  <c r="B546" i="2" l="1"/>
  <c r="A545" i="2"/>
  <c r="B547" i="2" l="1"/>
  <c r="A546" i="2"/>
  <c r="B548" i="2" l="1"/>
  <c r="A547" i="2"/>
  <c r="B549" i="2" l="1"/>
  <c r="A548" i="2"/>
  <c r="B550" i="2" l="1"/>
  <c r="A549" i="2"/>
  <c r="B551" i="2" l="1"/>
  <c r="A550" i="2"/>
  <c r="B552" i="2" l="1"/>
  <c r="A551" i="2"/>
  <c r="B553" i="2" l="1"/>
  <c r="B554" i="2" s="1"/>
  <c r="A552" i="2"/>
  <c r="A554" i="2" l="1"/>
  <c r="A553" i="2"/>
  <c r="B559" i="2" l="1"/>
  <c r="A558" i="2"/>
  <c r="A559" i="2" l="1"/>
  <c r="B560" i="2"/>
  <c r="B561" i="2" l="1"/>
  <c r="A560" i="2"/>
  <c r="B562" i="2" l="1"/>
  <c r="A561" i="2"/>
  <c r="B563" i="2" l="1"/>
  <c r="A562" i="2"/>
  <c r="B564" i="2" l="1"/>
  <c r="A563" i="2"/>
  <c r="B565" i="2" l="1"/>
  <c r="A564" i="2"/>
  <c r="B566" i="2" l="1"/>
  <c r="A565" i="2"/>
  <c r="B567" i="2" l="1"/>
  <c r="A566" i="2"/>
  <c r="B568" i="2" l="1"/>
  <c r="A567" i="2"/>
  <c r="B569" i="2" l="1"/>
  <c r="A568" i="2"/>
  <c r="B570" i="2" l="1"/>
  <c r="A569" i="2"/>
  <c r="B571" i="2" l="1"/>
  <c r="A570" i="2"/>
  <c r="B572" i="2" l="1"/>
  <c r="A571" i="2"/>
  <c r="B573" i="2" l="1"/>
  <c r="A572" i="2"/>
  <c r="B574" i="2" l="1"/>
  <c r="A573" i="2"/>
  <c r="B575" i="2" l="1"/>
  <c r="A574" i="2"/>
  <c r="B576" i="2" l="1"/>
  <c r="A575" i="2"/>
  <c r="B577" i="2" l="1"/>
  <c r="A576" i="2"/>
  <c r="B578" i="2" l="1"/>
  <c r="A577" i="2"/>
  <c r="B579" i="2" l="1"/>
  <c r="A578" i="2"/>
  <c r="B580" i="2" l="1"/>
  <c r="A579" i="2"/>
  <c r="B581" i="2" l="1"/>
  <c r="A580" i="2"/>
  <c r="B582" i="2" l="1"/>
  <c r="A581" i="2"/>
  <c r="B583" i="2" l="1"/>
  <c r="A582" i="2"/>
  <c r="B584" i="2" l="1"/>
  <c r="A583" i="2"/>
  <c r="B585" i="2" l="1"/>
  <c r="A584" i="2"/>
  <c r="B586" i="2" l="1"/>
  <c r="A585" i="2"/>
  <c r="B587" i="2" l="1"/>
  <c r="A586" i="2"/>
  <c r="B588" i="2" l="1"/>
  <c r="A587" i="2"/>
  <c r="B589" i="2" l="1"/>
  <c r="A588" i="2"/>
  <c r="A589" i="2" l="1"/>
  <c r="B590" i="2"/>
  <c r="B591" i="2" l="1"/>
  <c r="A590" i="2"/>
  <c r="B592" i="2" l="1"/>
  <c r="A591" i="2"/>
  <c r="B593" i="2" l="1"/>
  <c r="A592" i="2"/>
  <c r="B594" i="2" l="1"/>
  <c r="A593" i="2"/>
  <c r="A594" i="2" l="1"/>
  <c r="B595" i="2"/>
  <c r="B596" i="2" l="1"/>
  <c r="A595" i="2"/>
  <c r="B597" i="2" l="1"/>
  <c r="A596" i="2"/>
  <c r="B598" i="2" l="1"/>
  <c r="A597" i="2"/>
  <c r="B599" i="2" l="1"/>
  <c r="A598" i="2"/>
  <c r="A599" i="2" l="1"/>
  <c r="B600" i="2"/>
  <c r="B601" i="2" l="1"/>
  <c r="A600" i="2"/>
  <c r="B602" i="2" l="1"/>
  <c r="A601" i="2"/>
  <c r="B603" i="2" l="1"/>
  <c r="A602" i="2"/>
  <c r="B604" i="2" l="1"/>
  <c r="A603" i="2"/>
  <c r="B605" i="2" l="1"/>
  <c r="A604" i="2"/>
  <c r="B606" i="2" l="1"/>
  <c r="A605" i="2"/>
  <c r="B607" i="2" l="1"/>
  <c r="A606" i="2"/>
  <c r="A607" i="2" l="1"/>
  <c r="B608" i="2"/>
  <c r="B609" i="2" l="1"/>
  <c r="A608" i="2"/>
  <c r="B610" i="2" l="1"/>
  <c r="A609" i="2"/>
  <c r="B611" i="2" l="1"/>
  <c r="A610" i="2"/>
  <c r="B612" i="2" l="1"/>
  <c r="A611" i="2"/>
  <c r="B613" i="2" l="1"/>
  <c r="A612" i="2"/>
  <c r="B614" i="2" l="1"/>
  <c r="A613" i="2"/>
  <c r="B615" i="2" l="1"/>
  <c r="A614" i="2"/>
  <c r="B616" i="2" l="1"/>
  <c r="A615" i="2"/>
  <c r="B617" i="2" l="1"/>
  <c r="A616" i="2"/>
  <c r="B618" i="2" l="1"/>
  <c r="A617" i="2"/>
  <c r="B619" i="2" l="1"/>
  <c r="A619" i="2" s="1"/>
  <c r="A618" i="2"/>
</calcChain>
</file>

<file path=xl/sharedStrings.xml><?xml version="1.0" encoding="utf-8"?>
<sst xmlns="http://schemas.openxmlformats.org/spreadsheetml/2006/main" count="474" uniqueCount="292">
  <si>
    <t>General Fund</t>
  </si>
  <si>
    <t>Date</t>
  </si>
  <si>
    <t>Balance</t>
  </si>
  <si>
    <t>Day</t>
  </si>
  <si>
    <t>Sunday</t>
  </si>
  <si>
    <t>Monday</t>
  </si>
  <si>
    <t>Tuesday</t>
  </si>
  <si>
    <t>Wednesday</t>
  </si>
  <si>
    <t>Thursday</t>
  </si>
  <si>
    <t>Friday</t>
  </si>
  <si>
    <t>Saturday</t>
  </si>
  <si>
    <t>Other Rev</t>
  </si>
  <si>
    <t>Day Table</t>
  </si>
  <si>
    <t>State/Federal</t>
  </si>
  <si>
    <t>State Aid -- 20th or business day after Oct - Aug</t>
  </si>
  <si>
    <t>budget</t>
  </si>
  <si>
    <t>Aug 31</t>
  </si>
  <si>
    <t>Oct 31</t>
  </si>
  <si>
    <t>Dec 31</t>
  </si>
  <si>
    <t>Feb 28</t>
  </si>
  <si>
    <t>total</t>
  </si>
  <si>
    <t>Prop Tax/ISD</t>
  </si>
  <si>
    <t>ISD Data</t>
  </si>
  <si>
    <t>Act 18</t>
  </si>
  <si>
    <t>Apr 30</t>
  </si>
  <si>
    <t>Miscellaneous Revenue -- weekly Fridays</t>
  </si>
  <si>
    <t>all 2xxx</t>
  </si>
  <si>
    <t>less FICA</t>
  </si>
  <si>
    <t>less retire</t>
  </si>
  <si>
    <t>Services</t>
  </si>
  <si>
    <t>Other AP</t>
  </si>
  <si>
    <t>Cash</t>
  </si>
  <si>
    <t>Total</t>
  </si>
  <si>
    <t>General</t>
  </si>
  <si>
    <t>average</t>
  </si>
  <si>
    <t>07-jul</t>
  </si>
  <si>
    <t>08-aug</t>
  </si>
  <si>
    <t>09-sep</t>
  </si>
  <si>
    <t>10-oct</t>
  </si>
  <si>
    <t>11-nov</t>
  </si>
  <si>
    <t>12-dec</t>
  </si>
  <si>
    <t>01-jan</t>
  </si>
  <si>
    <t>02-feb</t>
  </si>
  <si>
    <t>03-mar</t>
  </si>
  <si>
    <t>04-apr</t>
  </si>
  <si>
    <t>05-may</t>
  </si>
  <si>
    <t>06-jun</t>
  </si>
  <si>
    <t>Jan 31</t>
  </si>
  <si>
    <t>Nov 30</t>
  </si>
  <si>
    <t>Mar 22</t>
  </si>
  <si>
    <t>S/E Trans</t>
  </si>
  <si>
    <t>Loan</t>
  </si>
  <si>
    <t>True Position</t>
  </si>
  <si>
    <t>Average Monthly Cash Balance (101 &amp; 181)</t>
  </si>
  <si>
    <t>Billback</t>
  </si>
  <si>
    <t>2013-14 Pre-Audit General Fund Expenditures</t>
  </si>
  <si>
    <t xml:space="preserve">   July 31, 2013</t>
  </si>
  <si>
    <t xml:space="preserve">   August 31, 2013</t>
  </si>
  <si>
    <t xml:space="preserve">   September 30, 2013</t>
  </si>
  <si>
    <t xml:space="preserve">   October 31, 2013</t>
  </si>
  <si>
    <t xml:space="preserve">   November 30, 2013</t>
  </si>
  <si>
    <t xml:space="preserve">   December 31, 2013</t>
  </si>
  <si>
    <t xml:space="preserve">   January 31, 2014</t>
  </si>
  <si>
    <t xml:space="preserve">   February 29, 2014</t>
  </si>
  <si>
    <t xml:space="preserve">   March 31, 2014</t>
  </si>
  <si>
    <t xml:space="preserve">   June 30, 2014 estimate</t>
  </si>
  <si>
    <t xml:space="preserve">   June 30, 2013</t>
  </si>
  <si>
    <t>Total Expense</t>
  </si>
  <si>
    <t>less ckswp</t>
  </si>
  <si>
    <t>11-2-181 -0900</t>
  </si>
  <si>
    <t>11-2-101 -0000</t>
  </si>
  <si>
    <t>Investmt</t>
  </si>
  <si>
    <t>11-2-131 -0000</t>
  </si>
  <si>
    <t>Due Froms</t>
  </si>
  <si>
    <t>11-2-411 -0000</t>
  </si>
  <si>
    <t>Due Tos</t>
  </si>
  <si>
    <t>FICA (2830)</t>
  </si>
  <si>
    <t>Benefits</t>
  </si>
  <si>
    <t>Payroll</t>
  </si>
  <si>
    <t>Predicted</t>
  </si>
  <si>
    <t>Due To/From</t>
  </si>
  <si>
    <t xml:space="preserve">   April 30, 2014</t>
  </si>
  <si>
    <t>Need</t>
  </si>
  <si>
    <t>Actual</t>
  </si>
  <si>
    <t xml:space="preserve">   May 31, 2014</t>
  </si>
  <si>
    <t>future loan repayment</t>
  </si>
  <si>
    <t>2015-16</t>
  </si>
  <si>
    <t>11-2-102 -0000</t>
  </si>
  <si>
    <t>SAN Cash</t>
  </si>
  <si>
    <t>Sep 30</t>
  </si>
  <si>
    <t>Services -- Thursdays (31xx)</t>
  </si>
  <si>
    <t>Other AP -- Thursdays (32xx-9xxx)</t>
  </si>
  <si>
    <t>Retirement (2820+2821+2822)</t>
  </si>
  <si>
    <t>2014-15 Pre-Audit General Fund Expenditures</t>
  </si>
  <si>
    <t xml:space="preserve">   July 31, 2014</t>
  </si>
  <si>
    <t xml:space="preserve">   August 31, 2014</t>
  </si>
  <si>
    <t xml:space="preserve">   September 30, 2014</t>
  </si>
  <si>
    <t xml:space="preserve">   October 31, 2014</t>
  </si>
  <si>
    <t xml:space="preserve">   November 30, 2014</t>
  </si>
  <si>
    <t xml:space="preserve">   December 31, 2014</t>
  </si>
  <si>
    <t xml:space="preserve">   January 31, 2015</t>
  </si>
  <si>
    <t xml:space="preserve">   March 31, 2015</t>
  </si>
  <si>
    <t xml:space="preserve">   April 30, 2015</t>
  </si>
  <si>
    <t xml:space="preserve">   May 31, 2015</t>
  </si>
  <si>
    <t xml:space="preserve">   June 30, 2015 estimate</t>
  </si>
  <si>
    <t xml:space="preserve">   June 30, 2014</t>
  </si>
  <si>
    <t>Average Monthly Cash Balance</t>
  </si>
  <si>
    <t xml:space="preserve">101 |102 |181 </t>
  </si>
  <si>
    <t>Funds 11 &amp; 13</t>
  </si>
  <si>
    <t>excl 11 &lt;---&gt; 13</t>
  </si>
  <si>
    <t xml:space="preserve">   February 28, 2015</t>
  </si>
  <si>
    <t>prior to county adjustments</t>
  </si>
  <si>
    <t>property tax collection for 2015-16</t>
  </si>
  <si>
    <t>2016-17</t>
  </si>
  <si>
    <t>2015-16 Pre-Audit General Fund Expenditures</t>
  </si>
  <si>
    <t xml:space="preserve">   January 31, 2016</t>
  </si>
  <si>
    <t xml:space="preserve">   February 28, 2016</t>
  </si>
  <si>
    <t xml:space="preserve">   March 31, 2016</t>
  </si>
  <si>
    <t xml:space="preserve">   April 30, 2016</t>
  </si>
  <si>
    <t xml:space="preserve">   May 31, 2016</t>
  </si>
  <si>
    <t xml:space="preserve">   June 30, 2016 estimate</t>
  </si>
  <si>
    <t xml:space="preserve">   June 30, 2015</t>
  </si>
  <si>
    <t xml:space="preserve">   July 31, 2015</t>
  </si>
  <si>
    <t xml:space="preserve">   August 31, 2015</t>
  </si>
  <si>
    <t xml:space="preserve">   September 30, 2015</t>
  </si>
  <si>
    <t xml:space="preserve">   October 31, 2015</t>
  </si>
  <si>
    <t xml:space="preserve">   November 30, 2015</t>
  </si>
  <si>
    <t xml:space="preserve">   December 31, 2015</t>
  </si>
  <si>
    <t>2017-18</t>
  </si>
  <si>
    <t>16-17 Total</t>
  </si>
  <si>
    <t>Status Notes</t>
  </si>
  <si>
    <t>Revenue</t>
  </si>
  <si>
    <t>Expense</t>
  </si>
  <si>
    <t>Jun 15</t>
  </si>
  <si>
    <t>May 31</t>
  </si>
  <si>
    <t>May budget funds 11:13</t>
  </si>
  <si>
    <t>less 13 to 11</t>
  </si>
  <si>
    <t>11:13 131</t>
  </si>
  <si>
    <t>11:13 411</t>
  </si>
  <si>
    <t>+DF -DT</t>
  </si>
  <si>
    <t>Due from 61</t>
  </si>
  <si>
    <t>00 SoY</t>
  </si>
  <si>
    <t>01 Jul</t>
  </si>
  <si>
    <t>02 Aug</t>
  </si>
  <si>
    <t>03 Sept</t>
  </si>
  <si>
    <t>04 Oct</t>
  </si>
  <si>
    <t>05 Nov</t>
  </si>
  <si>
    <t>06 Dec</t>
  </si>
  <si>
    <t>07 Jan</t>
  </si>
  <si>
    <t>08 Feb</t>
  </si>
  <si>
    <t>09 Mar</t>
  </si>
  <si>
    <t>10 Apr</t>
  </si>
  <si>
    <t>11 May</t>
  </si>
  <si>
    <t>12 June</t>
  </si>
  <si>
    <t>13 EoY</t>
  </si>
  <si>
    <t>Due from 25</t>
  </si>
  <si>
    <t>Due from 23</t>
  </si>
  <si>
    <t>Due from 41</t>
  </si>
  <si>
    <t>Due from 27</t>
  </si>
  <si>
    <t>Fund 11 &amp; 13</t>
  </si>
  <si>
    <t>Due to 25</t>
  </si>
  <si>
    <t>Due to 23</t>
  </si>
  <si>
    <t>Due to 61</t>
  </si>
  <si>
    <t>Due to 27</t>
  </si>
  <si>
    <t>Due to 31</t>
  </si>
  <si>
    <t>+Df &amp; -Dt</t>
  </si>
  <si>
    <t>updated as of July 29, 2016</t>
  </si>
  <si>
    <t>17-18 Budget</t>
  </si>
  <si>
    <t>= done per initial budget</t>
  </si>
  <si>
    <t>= done per final budget</t>
  </si>
  <si>
    <t>Initial budget funds 11:13</t>
  </si>
  <si>
    <t>16-17</t>
  </si>
  <si>
    <t>17-18</t>
  </si>
  <si>
    <t>Category</t>
  </si>
  <si>
    <t>Miscellaneous</t>
  </si>
  <si>
    <t>Local - Property Tax</t>
  </si>
  <si>
    <t>State - State Aid</t>
  </si>
  <si>
    <t>exclude food service, add alt ed</t>
  </si>
  <si>
    <t>Federal</t>
  </si>
  <si>
    <t>ISD - Check Swap</t>
  </si>
  <si>
    <t>Other</t>
  </si>
  <si>
    <t>exclude Fund 13 transfer</t>
  </si>
  <si>
    <t>Whitehall Cty</t>
  </si>
  <si>
    <t>Co Delinq</t>
  </si>
  <si>
    <t>Whitehall Twp</t>
  </si>
  <si>
    <t>Fruitland Twp</t>
  </si>
  <si>
    <t>Blue Lake Twp</t>
  </si>
  <si>
    <t>Dalton Twp</t>
  </si>
  <si>
    <t>property tax collection for 2016-17</t>
  </si>
  <si>
    <t>estimated collection percentage</t>
  </si>
  <si>
    <t>Property Tax</t>
  </si>
  <si>
    <t>Jul 31</t>
  </si>
  <si>
    <t>Percent</t>
  </si>
  <si>
    <t>Budget</t>
  </si>
  <si>
    <t xml:space="preserve"> = not done, prior year yet</t>
  </si>
  <si>
    <t>17-18 Total</t>
  </si>
  <si>
    <t>Benefits -- 17-18 monthly with last A.P.</t>
  </si>
  <si>
    <t>Payrolls -- bimonthly 6th &amp; 21st Sep - Aug</t>
  </si>
  <si>
    <t>2016-17 Pre-Audit General Fund Expenditures</t>
  </si>
  <si>
    <t xml:space="preserve">   July 31, 2016</t>
  </si>
  <si>
    <t xml:space="preserve">   August 31, 2016</t>
  </si>
  <si>
    <t xml:space="preserve">   September 30, 2016</t>
  </si>
  <si>
    <t xml:space="preserve">   October 31, 2016</t>
  </si>
  <si>
    <t xml:space="preserve">   November 30, 2016</t>
  </si>
  <si>
    <t xml:space="preserve">   December 31, 2016</t>
  </si>
  <si>
    <t xml:space="preserve">   January 31, 2017</t>
  </si>
  <si>
    <t xml:space="preserve">   February 28, 2017</t>
  </si>
  <si>
    <t xml:space="preserve">   March 31, 2017</t>
  </si>
  <si>
    <t xml:space="preserve">   April 30, 2017</t>
  </si>
  <si>
    <t xml:space="preserve">   May 31, 2017</t>
  </si>
  <si>
    <t xml:space="preserve">   June 30, 2017 estimate</t>
  </si>
  <si>
    <t>Cash &amp; Investment Balances</t>
  </si>
  <si>
    <t xml:space="preserve">   June 30, 2016</t>
  </si>
  <si>
    <t>June 30, 2017 estimate</t>
  </si>
  <si>
    <t>June 30, 2016</t>
  </si>
  <si>
    <t>July 31, 2016</t>
  </si>
  <si>
    <t>August 31, 2016</t>
  </si>
  <si>
    <t>September 30, 2016</t>
  </si>
  <si>
    <t>October 31, 2016</t>
  </si>
  <si>
    <t>November 30, 2016</t>
  </si>
  <si>
    <t>December 31, 2016</t>
  </si>
  <si>
    <t>January 31, 2017</t>
  </si>
  <si>
    <t>February 28, 2017</t>
  </si>
  <si>
    <t>March 31, 2017</t>
  </si>
  <si>
    <t>April 30, 2017</t>
  </si>
  <si>
    <t>May 31, 2017</t>
  </si>
  <si>
    <t>11-2-101</t>
  </si>
  <si>
    <t>11-2-102</t>
  </si>
  <si>
    <t>11-2-181</t>
  </si>
  <si>
    <t>should equal June 30 cash flow</t>
  </si>
  <si>
    <t>Bal of 131</t>
  </si>
  <si>
    <t>Bal of 411</t>
  </si>
  <si>
    <t>Due from 42</t>
  </si>
  <si>
    <t>Due from 31</t>
  </si>
  <si>
    <t>­</t>
  </si>
  <si>
    <t>6-8: Updated beginning balance and actuals</t>
  </si>
  <si>
    <t>6-14: Updated beginning balance and actuals</t>
  </si>
  <si>
    <t>Future Borrowing Anticipated:</t>
  </si>
  <si>
    <t>Leases (Copiers, Buses, Technology)</t>
  </si>
  <si>
    <t>Other State Aid Notes</t>
  </si>
  <si>
    <t>6-20: settlement check &amp; payroll</t>
  </si>
  <si>
    <t>6-22: State aid</t>
  </si>
  <si>
    <t>6-29: Update for RFP's</t>
  </si>
  <si>
    <t>Bond Issues This Year - Done and Anticipated</t>
  </si>
  <si>
    <t>7-6: Update for year-end &amp; payroll</t>
  </si>
  <si>
    <t>7-14: Update</t>
  </si>
  <si>
    <t>7-21: Update</t>
  </si>
  <si>
    <t>Cash Flow Projection - 01-01-2018</t>
  </si>
  <si>
    <t>2019-20</t>
  </si>
  <si>
    <t>Cash on Hand --- January 01, 2018 per MUNIS</t>
  </si>
  <si>
    <t>Transp - now state aid</t>
  </si>
  <si>
    <t>from 4.25 to 2.5 in 5 years.</t>
  </si>
  <si>
    <t>not due to spreadsheet</t>
  </si>
  <si>
    <t>1) billing other districts from semi-annually to quarterly to bi-monthly to monthly</t>
  </si>
  <si>
    <t>2) grants billed monthly</t>
  </si>
  <si>
    <t>3) set up separate account and try to not use it (mind games)</t>
  </si>
  <si>
    <t>sheet tends to be conservative</t>
  </si>
  <si>
    <t>update Cash Flow sheet with dates and years</t>
  </si>
  <si>
    <t>I tend to leave formulae black</t>
  </si>
  <si>
    <t>entry numbers are usually blue</t>
  </si>
  <si>
    <t>I rarely link files…too much danger</t>
  </si>
  <si>
    <t>I will link sheets within a file</t>
  </si>
  <si>
    <t>11-2-101 -</t>
  </si>
  <si>
    <t>Mac Cash</t>
  </si>
  <si>
    <t>I update the sheet with actuals as I go along</t>
  </si>
  <si>
    <t>Federal -- 10th or business day after Sep - Aug</t>
  </si>
  <si>
    <t>Watch for August 20th or other maturity dates falling on weekends</t>
  </si>
  <si>
    <t>need to go through August 31 of following year because Amanda says so</t>
  </si>
  <si>
    <t>2018-19</t>
  </si>
  <si>
    <t>check swap</t>
  </si>
  <si>
    <t>start new loan, set to $0 for need
loan interest &amp; principal repayment</t>
  </si>
  <si>
    <t xml:space="preserve">   "why would I borrow for another district?"</t>
  </si>
  <si>
    <t>a number that is transferred to somewhere else tends to be green</t>
  </si>
  <si>
    <t>could it be $1M for 6 months?</t>
  </si>
  <si>
    <t>Fund 13 might be unique to us…WLACE Homeschool and Adult Ed.</t>
  </si>
  <si>
    <t>FID translation changes fund to 11, combined with 11 for resolution.</t>
  </si>
  <si>
    <t>18-19 Budget</t>
  </si>
  <si>
    <t>+3% Gov Prop -Prop Tax Increase</t>
  </si>
  <si>
    <t>no change</t>
  </si>
  <si>
    <t>+3% estimate</t>
  </si>
  <si>
    <t>+2.5% estimate</t>
  </si>
  <si>
    <t>no change on rates, +2.5% for wages</t>
  </si>
  <si>
    <t>verify rates…</t>
  </si>
  <si>
    <t>verify close to 7.65%</t>
  </si>
  <si>
    <t>no change on rate, +2/5% for wages</t>
  </si>
  <si>
    <t>Benefits -- 18-19 monthly with last A.P.</t>
  </si>
  <si>
    <t>Note= Insurance = 30% of all benefits</t>
  </si>
  <si>
    <t>[0.7*Prior*(1+wage)*(1+retire)]+[0.3*Prior*(1+insure)]</t>
  </si>
  <si>
    <t>Initial budget funds 11:13 or estimate below</t>
  </si>
  <si>
    <t>2017 summer</t>
  </si>
  <si>
    <t>ISD Check Swap - 2018</t>
  </si>
  <si>
    <t>2-15: Initial projection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</si>
</sst>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_(* #,##0.0000_);_(* \(#,##0.0000\);_(* &quot;-&quot;??_);_(@_)"/>
  </numFmts>
  <fonts count="16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FF"/>
      <name val="Calibri"/>
      <family val="2"/>
    </font>
    <font>
      <sz val="12"/>
      <color rgb="FF0000CC"/>
      <name val="Calibri"/>
      <family val="2"/>
    </font>
    <font>
      <b/>
      <sz val="12"/>
      <color theme="6" tint="-0.499984740745262"/>
      <name val="Calibri"/>
      <family val="2"/>
    </font>
    <font>
      <i/>
      <sz val="12"/>
      <color theme="1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  <scheme val="minor"/>
    </font>
    <font>
      <i/>
      <sz val="12"/>
      <color rgb="FF0000CC"/>
      <name val="Calibri"/>
      <family val="2"/>
    </font>
    <font>
      <b/>
      <sz val="12"/>
      <name val="Calibri"/>
      <family val="2"/>
    </font>
    <font>
      <b/>
      <i/>
      <sz val="12"/>
      <color rgb="FF0000CC"/>
      <name val="Calibri"/>
      <family val="2"/>
    </font>
    <font>
      <sz val="12"/>
      <color theme="1"/>
      <name val="Symbol"/>
      <family val="1"/>
      <charset val="2"/>
    </font>
    <font>
      <b/>
      <i/>
      <sz val="12"/>
      <color theme="6" tint="-0.499984740745262"/>
      <name val="Calibri"/>
      <family val="2"/>
    </font>
    <font>
      <i/>
      <sz val="12"/>
      <color rgb="FFFFFF00"/>
      <name val="Calibri"/>
      <family val="2"/>
    </font>
    <font>
      <sz val="12"/>
      <color theme="6" tint="-0.49998474074526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</cellStyleXfs>
  <cellXfs count="324">
    <xf numFmtId="0" fontId="0" fillId="0" borderId="0" xfId="0"/>
    <xf numFmtId="0" fontId="0" fillId="0" borderId="0" xfId="0" applyAlignment="1">
      <alignment horizontal="right"/>
    </xf>
    <xf numFmtId="0" fontId="0" fillId="0" borderId="5" xfId="0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4" fontId="0" fillId="0" borderId="2" xfId="0" applyNumberFormat="1" applyBorder="1" applyAlignment="1">
      <alignment horizontal="center"/>
    </xf>
    <xf numFmtId="164" fontId="0" fillId="0" borderId="0" xfId="1" applyNumberFormat="1" applyFont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2" fillId="0" borderId="11" xfId="0" applyFont="1" applyBorder="1" applyAlignment="1">
      <alignment horizontal="center"/>
    </xf>
    <xf numFmtId="0" fontId="4" fillId="0" borderId="0" xfId="0" applyFont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164" fontId="4" fillId="0" borderId="0" xfId="1" applyNumberFormat="1" applyFont="1" applyBorder="1"/>
    <xf numFmtId="0" fontId="0" fillId="0" borderId="0" xfId="0" applyBorder="1"/>
    <xf numFmtId="165" fontId="4" fillId="0" borderId="0" xfId="0" quotePrefix="1" applyNumberFormat="1" applyFont="1" applyBorder="1"/>
    <xf numFmtId="10" fontId="4" fillId="0" borderId="0" xfId="2" applyNumberFormat="1" applyFont="1" applyBorder="1"/>
    <xf numFmtId="10" fontId="0" fillId="0" borderId="0" xfId="2" applyNumberFormat="1" applyFont="1" applyBorder="1"/>
    <xf numFmtId="0" fontId="4" fillId="0" borderId="0" xfId="0" quotePrefix="1" applyFont="1" applyBorder="1"/>
    <xf numFmtId="0" fontId="4" fillId="0" borderId="8" xfId="0" quotePrefix="1" applyFont="1" applyBorder="1"/>
    <xf numFmtId="10" fontId="4" fillId="0" borderId="8" xfId="2" applyNumberFormat="1" applyFont="1" applyBorder="1"/>
    <xf numFmtId="0" fontId="4" fillId="0" borderId="8" xfId="0" applyFont="1" applyBorder="1"/>
    <xf numFmtId="0" fontId="4" fillId="0" borderId="0" xfId="0" applyFont="1" applyBorder="1"/>
    <xf numFmtId="164" fontId="0" fillId="0" borderId="6" xfId="1" applyNumberFormat="1" applyFont="1" applyBorder="1"/>
    <xf numFmtId="0" fontId="2" fillId="0" borderId="5" xfId="0" applyFont="1" applyBorder="1"/>
    <xf numFmtId="0" fontId="0" fillId="0" borderId="8" xfId="0" applyBorder="1" applyAlignment="1">
      <alignment horizontal="right"/>
    </xf>
    <xf numFmtId="164" fontId="0" fillId="0" borderId="0" xfId="0" applyNumberFormat="1" applyBorder="1"/>
    <xf numFmtId="164" fontId="0" fillId="0" borderId="3" xfId="1" applyNumberFormat="1" applyFont="1" applyBorder="1"/>
    <xf numFmtId="0" fontId="4" fillId="0" borderId="3" xfId="0" applyFont="1" applyBorder="1"/>
    <xf numFmtId="164" fontId="0" fillId="0" borderId="4" xfId="1" applyNumberFormat="1" applyFont="1" applyBorder="1"/>
    <xf numFmtId="0" fontId="2" fillId="0" borderId="8" xfId="0" applyFont="1" applyBorder="1" applyAlignment="1"/>
    <xf numFmtId="164" fontId="0" fillId="0" borderId="0" xfId="1" applyNumberFormat="1" applyFont="1" applyBorder="1"/>
    <xf numFmtId="0" fontId="0" fillId="0" borderId="0" xfId="0" applyFill="1" applyBorder="1"/>
    <xf numFmtId="10" fontId="0" fillId="0" borderId="0" xfId="2" applyNumberFormat="1" applyFont="1"/>
    <xf numFmtId="0" fontId="2" fillId="0" borderId="0" xfId="0" applyFont="1" applyAlignment="1">
      <alignment horizontal="right"/>
    </xf>
    <xf numFmtId="0" fontId="0" fillId="0" borderId="11" xfId="0" applyBorder="1" applyAlignment="1">
      <alignment horizontal="right"/>
    </xf>
    <xf numFmtId="44" fontId="0" fillId="0" borderId="12" xfId="3" applyFont="1" applyBorder="1"/>
    <xf numFmtId="44" fontId="0" fillId="0" borderId="1" xfId="0" applyNumberFormat="1" applyBorder="1"/>
    <xf numFmtId="44" fontId="0" fillId="0" borderId="13" xfId="3" applyFont="1" applyBorder="1"/>
    <xf numFmtId="0" fontId="0" fillId="0" borderId="13" xfId="0" applyBorder="1"/>
    <xf numFmtId="0" fontId="0" fillId="0" borderId="0" xfId="0" applyFill="1"/>
    <xf numFmtId="0" fontId="0" fillId="2" borderId="0" xfId="0" applyFill="1"/>
    <xf numFmtId="0" fontId="0" fillId="0" borderId="2" xfId="0" applyBorder="1"/>
    <xf numFmtId="16" fontId="0" fillId="0" borderId="5" xfId="0" quotePrefix="1" applyNumberFormat="1" applyBorder="1"/>
    <xf numFmtId="10" fontId="0" fillId="0" borderId="6" xfId="2" applyNumberFormat="1" applyFont="1" applyBorder="1"/>
    <xf numFmtId="0" fontId="0" fillId="0" borderId="5" xfId="0" quotePrefix="1" applyBorder="1"/>
    <xf numFmtId="10" fontId="0" fillId="0" borderId="9" xfId="2" applyNumberFormat="1" applyFont="1" applyBorder="1"/>
    <xf numFmtId="0" fontId="6" fillId="0" borderId="0" xfId="0" applyFont="1"/>
    <xf numFmtId="0" fontId="0" fillId="0" borderId="5" xfId="0" applyFill="1" applyBorder="1"/>
    <xf numFmtId="0" fontId="0" fillId="0" borderId="7" xfId="0" applyFill="1" applyBorder="1"/>
    <xf numFmtId="0" fontId="0" fillId="0" borderId="0" xfId="0" applyAlignment="1"/>
    <xf numFmtId="0" fontId="0" fillId="0" borderId="0" xfId="0"/>
    <xf numFmtId="14" fontId="0" fillId="0" borderId="7" xfId="0" applyNumberFormat="1" applyBorder="1" applyAlignment="1">
      <alignment horizontal="center"/>
    </xf>
    <xf numFmtId="38" fontId="4" fillId="0" borderId="6" xfId="1" applyNumberFormat="1" applyFont="1" applyBorder="1"/>
    <xf numFmtId="165" fontId="0" fillId="0" borderId="0" xfId="0" quotePrefix="1" applyNumberFormat="1" applyBorder="1" applyAlignment="1">
      <alignment horizontal="right"/>
    </xf>
    <xf numFmtId="38" fontId="2" fillId="0" borderId="0" xfId="1" applyNumberFormat="1" applyFont="1" applyAlignment="1">
      <alignment horizontal="right"/>
    </xf>
    <xf numFmtId="38" fontId="2" fillId="0" borderId="0" xfId="1" applyNumberFormat="1" applyFont="1" applyAlignment="1">
      <alignment horizontal="left"/>
    </xf>
    <xf numFmtId="38" fontId="2" fillId="0" borderId="8" xfId="0" applyNumberFormat="1" applyFont="1" applyBorder="1" applyAlignment="1"/>
    <xf numFmtId="38" fontId="2" fillId="0" borderId="11" xfId="1" applyNumberFormat="1" applyFont="1" applyBorder="1" applyAlignment="1">
      <alignment horizontal="right"/>
    </xf>
    <xf numFmtId="38" fontId="2" fillId="0" borderId="13" xfId="1" applyNumberFormat="1" applyFont="1" applyBorder="1" applyAlignment="1">
      <alignment horizontal="right"/>
    </xf>
    <xf numFmtId="38" fontId="2" fillId="0" borderId="1" xfId="1" applyNumberFormat="1" applyFont="1" applyBorder="1" applyAlignment="1">
      <alignment horizontal="right"/>
    </xf>
    <xf numFmtId="38" fontId="5" fillId="0" borderId="1" xfId="1" applyNumberFormat="1" applyFont="1" applyBorder="1" applyAlignment="1">
      <alignment horizontal="right"/>
    </xf>
    <xf numFmtId="38" fontId="0" fillId="0" borderId="5" xfId="1" applyNumberFormat="1" applyFont="1" applyBorder="1" applyAlignment="1">
      <alignment horizontal="right"/>
    </xf>
    <xf numFmtId="38" fontId="0" fillId="0" borderId="0" xfId="1" applyNumberFormat="1" applyFont="1" applyBorder="1" applyAlignment="1">
      <alignment horizontal="right"/>
    </xf>
    <xf numFmtId="38" fontId="0" fillId="0" borderId="10" xfId="1" applyNumberFormat="1" applyFont="1" applyBorder="1" applyAlignment="1">
      <alignment horizontal="right"/>
    </xf>
    <xf numFmtId="38" fontId="4" fillId="0" borderId="0" xfId="1" applyNumberFormat="1" applyFont="1" applyBorder="1" applyAlignment="1">
      <alignment horizontal="right"/>
    </xf>
    <xf numFmtId="38" fontId="4" fillId="0" borderId="5" xfId="1" applyNumberFormat="1" applyFont="1" applyBorder="1" applyAlignment="1">
      <alignment horizontal="right"/>
    </xf>
    <xf numFmtId="38" fontId="0" fillId="0" borderId="0" xfId="1" applyNumberFormat="1" applyFont="1" applyFill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38" fontId="0" fillId="0" borderId="3" xfId="1" applyNumberFormat="1" applyFont="1" applyBorder="1" applyAlignment="1">
      <alignment horizontal="right"/>
    </xf>
    <xf numFmtId="38" fontId="0" fillId="0" borderId="0" xfId="1" applyNumberFormat="1" applyFont="1"/>
    <xf numFmtId="38" fontId="4" fillId="0" borderId="0" xfId="1" applyNumberFormat="1" applyFont="1" applyFill="1" applyBorder="1" applyAlignment="1">
      <alignment horizontal="right"/>
    </xf>
    <xf numFmtId="38" fontId="0" fillId="0" borderId="5" xfId="1" applyNumberFormat="1" applyFont="1" applyBorder="1"/>
    <xf numFmtId="38" fontId="0" fillId="0" borderId="14" xfId="1" applyNumberFormat="1" applyFont="1" applyBorder="1" applyAlignment="1">
      <alignment horizontal="right"/>
    </xf>
    <xf numFmtId="38" fontId="0" fillId="0" borderId="5" xfId="1" applyNumberFormat="1" applyFont="1" applyFill="1" applyBorder="1" applyAlignment="1">
      <alignment horizontal="right"/>
    </xf>
    <xf numFmtId="38" fontId="0" fillId="4" borderId="0" xfId="1" applyNumberFormat="1" applyFont="1" applyFill="1" applyBorder="1" applyAlignment="1">
      <alignment horizontal="right"/>
    </xf>
    <xf numFmtId="38" fontId="0" fillId="0" borderId="7" xfId="1" applyNumberFormat="1" applyFont="1" applyBorder="1" applyAlignment="1">
      <alignment horizontal="right"/>
    </xf>
    <xf numFmtId="38" fontId="0" fillId="0" borderId="8" xfId="1" applyNumberFormat="1" applyFont="1" applyBorder="1" applyAlignment="1">
      <alignment horizontal="right"/>
    </xf>
    <xf numFmtId="38" fontId="0" fillId="0" borderId="15" xfId="1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2" xfId="0" applyFont="1" applyFill="1" applyBorder="1"/>
    <xf numFmtId="0" fontId="0" fillId="0" borderId="0" xfId="0" quotePrefix="1"/>
    <xf numFmtId="0" fontId="0" fillId="0" borderId="0" xfId="0" applyBorder="1" applyAlignment="1">
      <alignment horizontal="right"/>
    </xf>
    <xf numFmtId="0" fontId="0" fillId="0" borderId="0" xfId="0"/>
    <xf numFmtId="0" fontId="0" fillId="0" borderId="0" xfId="0"/>
    <xf numFmtId="38" fontId="0" fillId="0" borderId="8" xfId="1" applyNumberFormat="1" applyFont="1" applyBorder="1"/>
    <xf numFmtId="14" fontId="4" fillId="0" borderId="0" xfId="0" applyNumberFormat="1" applyFont="1"/>
    <xf numFmtId="38" fontId="2" fillId="0" borderId="0" xfId="1" applyNumberFormat="1" applyFont="1" applyFill="1" applyBorder="1" applyAlignment="1">
      <alignment horizontal="right"/>
    </xf>
    <xf numFmtId="164" fontId="4" fillId="0" borderId="0" xfId="1" applyNumberFormat="1" applyFont="1"/>
    <xf numFmtId="164" fontId="0" fillId="0" borderId="0" xfId="0" applyNumberFormat="1"/>
    <xf numFmtId="0" fontId="0" fillId="0" borderId="0" xfId="0"/>
    <xf numFmtId="164" fontId="4" fillId="0" borderId="0" xfId="1" applyNumberFormat="1" applyFont="1" applyFill="1" applyBorder="1"/>
    <xf numFmtId="0" fontId="0" fillId="0" borderId="0" xfId="0"/>
    <xf numFmtId="0" fontId="0" fillId="0" borderId="0" xfId="0"/>
    <xf numFmtId="38" fontId="7" fillId="0" borderId="0" xfId="1" applyNumberFormat="1" applyFont="1" applyBorder="1" applyAlignment="1">
      <alignment horizontal="right"/>
    </xf>
    <xf numFmtId="38" fontId="7" fillId="0" borderId="2" xfId="1" applyNumberFormat="1" applyFont="1" applyBorder="1" applyAlignment="1">
      <alignment horizontal="right"/>
    </xf>
    <xf numFmtId="164" fontId="4" fillId="0" borderId="8" xfId="1" applyNumberFormat="1" applyFont="1" applyFill="1" applyBorder="1"/>
    <xf numFmtId="164" fontId="0" fillId="0" borderId="8" xfId="0" applyNumberFormat="1" applyFill="1" applyBorder="1"/>
    <xf numFmtId="164" fontId="7" fillId="0" borderId="0" xfId="1" applyNumberFormat="1" applyFont="1" applyFill="1" applyBorder="1"/>
    <xf numFmtId="38" fontId="0" fillId="0" borderId="0" xfId="1" applyNumberFormat="1" applyFont="1" applyBorder="1"/>
    <xf numFmtId="38" fontId="7" fillId="0" borderId="5" xfId="1" applyNumberFormat="1" applyFont="1" applyBorder="1" applyAlignment="1">
      <alignment horizontal="right"/>
    </xf>
    <xf numFmtId="38" fontId="0" fillId="0" borderId="6" xfId="1" applyNumberFormat="1" applyFont="1" applyBorder="1" applyAlignment="1">
      <alignment horizontal="right"/>
    </xf>
    <xf numFmtId="166" fontId="7" fillId="0" borderId="0" xfId="1" applyNumberFormat="1" applyFont="1" applyFill="1" applyBorder="1"/>
    <xf numFmtId="14" fontId="0" fillId="0" borderId="5" xfId="0" applyNumberFormat="1" applyFill="1" applyBorder="1" applyAlignment="1">
      <alignment horizontal="center"/>
    </xf>
    <xf numFmtId="0" fontId="0" fillId="0" borderId="0" xfId="0"/>
    <xf numFmtId="40" fontId="5" fillId="0" borderId="1" xfId="1" applyNumberFormat="1" applyFont="1" applyBorder="1" applyAlignment="1">
      <alignment horizontal="right"/>
    </xf>
    <xf numFmtId="0" fontId="9" fillId="0" borderId="0" xfId="0" applyFont="1"/>
    <xf numFmtId="0" fontId="2" fillId="0" borderId="2" xfId="0" applyFont="1" applyBorder="1" applyAlignment="1">
      <alignment horizontal="right"/>
    </xf>
    <xf numFmtId="164" fontId="0" fillId="0" borderId="7" xfId="0" applyNumberFormat="1" applyBorder="1"/>
    <xf numFmtId="164" fontId="0" fillId="0" borderId="8" xfId="0" applyNumberFormat="1" applyBorder="1"/>
    <xf numFmtId="0" fontId="0" fillId="0" borderId="0" xfId="0"/>
    <xf numFmtId="164" fontId="0" fillId="0" borderId="6" xfId="1" applyNumberFormat="1" applyFont="1" applyFill="1" applyBorder="1"/>
    <xf numFmtId="0" fontId="0" fillId="0" borderId="4" xfId="0" applyFill="1" applyBorder="1"/>
    <xf numFmtId="0" fontId="0" fillId="0" borderId="6" xfId="0" applyFill="1" applyBorder="1"/>
    <xf numFmtId="164" fontId="0" fillId="0" borderId="0" xfId="0" applyNumberFormat="1" applyFill="1" applyBorder="1"/>
    <xf numFmtId="0" fontId="4" fillId="0" borderId="0" xfId="0" applyFont="1" applyFill="1" applyBorder="1"/>
    <xf numFmtId="38" fontId="0" fillId="0" borderId="6" xfId="0" applyNumberFormat="1" applyFill="1" applyBorder="1"/>
    <xf numFmtId="0" fontId="4" fillId="0" borderId="8" xfId="0" applyFont="1" applyFill="1" applyBorder="1"/>
    <xf numFmtId="164" fontId="4" fillId="0" borderId="3" xfId="1" applyNumberFormat="1" applyFont="1" applyFill="1" applyBorder="1"/>
    <xf numFmtId="0" fontId="4" fillId="0" borderId="3" xfId="0" applyFont="1" applyFill="1" applyBorder="1"/>
    <xf numFmtId="164" fontId="0" fillId="0" borderId="12" xfId="1" applyNumberFormat="1" applyFont="1" applyFill="1" applyBorder="1"/>
    <xf numFmtId="0" fontId="7" fillId="0" borderId="0" xfId="0" applyFont="1"/>
    <xf numFmtId="14" fontId="7" fillId="0" borderId="5" xfId="0" applyNumberFormat="1" applyFont="1" applyBorder="1" applyAlignment="1">
      <alignment horizontal="center"/>
    </xf>
    <xf numFmtId="0" fontId="7" fillId="0" borderId="3" xfId="0" applyFont="1" applyBorder="1"/>
    <xf numFmtId="14" fontId="7" fillId="0" borderId="2" xfId="0" applyNumberFormat="1" applyFont="1" applyBorder="1" applyAlignment="1">
      <alignment horizontal="center"/>
    </xf>
    <xf numFmtId="38" fontId="7" fillId="0" borderId="3" xfId="1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Fill="1"/>
    <xf numFmtId="14" fontId="7" fillId="0" borderId="5" xfId="0" applyNumberFormat="1" applyFont="1" applyFill="1" applyBorder="1" applyAlignment="1">
      <alignment horizontal="center"/>
    </xf>
    <xf numFmtId="38" fontId="7" fillId="0" borderId="5" xfId="1" applyNumberFormat="1" applyFont="1" applyFill="1" applyBorder="1" applyAlignment="1">
      <alignment horizontal="right"/>
    </xf>
    <xf numFmtId="38" fontId="7" fillId="0" borderId="0" xfId="1" applyNumberFormat="1" applyFont="1" applyFill="1" applyBorder="1" applyAlignment="1">
      <alignment horizontal="right"/>
    </xf>
    <xf numFmtId="38" fontId="7" fillId="0" borderId="0" xfId="1" applyNumberFormat="1" applyFont="1"/>
    <xf numFmtId="38" fontId="7" fillId="0" borderId="2" xfId="1" applyNumberFormat="1" applyFont="1" applyBorder="1"/>
    <xf numFmtId="38" fontId="0" fillId="0" borderId="10" xfId="1" applyNumberFormat="1" applyFont="1" applyFill="1" applyBorder="1" applyAlignment="1">
      <alignment horizontal="right"/>
    </xf>
    <xf numFmtId="0" fontId="7" fillId="0" borderId="0" xfId="0" applyFont="1" applyFill="1" applyBorder="1"/>
    <xf numFmtId="38" fontId="0" fillId="0" borderId="6" xfId="1" applyNumberFormat="1" applyFont="1" applyBorder="1"/>
    <xf numFmtId="38" fontId="0" fillId="4" borderId="6" xfId="1" applyNumberFormat="1" applyFont="1" applyFill="1" applyBorder="1" applyAlignment="1">
      <alignment horizontal="right"/>
    </xf>
    <xf numFmtId="38" fontId="0" fillId="0" borderId="0" xfId="1" applyNumberFormat="1" applyFont="1" applyFill="1"/>
    <xf numFmtId="38" fontId="7" fillId="0" borderId="8" xfId="1" applyNumberFormat="1" applyFont="1" applyBorder="1" applyAlignment="1">
      <alignment horizontal="right"/>
    </xf>
    <xf numFmtId="38" fontId="7" fillId="0" borderId="9" xfId="1" applyNumberFormat="1" applyFont="1" applyBorder="1" applyAlignment="1">
      <alignment horizontal="right"/>
    </xf>
    <xf numFmtId="40" fontId="4" fillId="0" borderId="0" xfId="1" applyNumberFormat="1" applyFont="1" applyBorder="1"/>
    <xf numFmtId="0" fontId="0" fillId="0" borderId="0" xfId="0"/>
    <xf numFmtId="38" fontId="4" fillId="0" borderId="5" xfId="1" applyNumberFormat="1" applyFont="1" applyFill="1" applyBorder="1" applyAlignment="1">
      <alignment horizontal="right"/>
    </xf>
    <xf numFmtId="43" fontId="0" fillId="0" borderId="0" xfId="1" applyFont="1"/>
    <xf numFmtId="0" fontId="0" fillId="0" borderId="0" xfId="0"/>
    <xf numFmtId="14" fontId="4" fillId="0" borderId="2" xfId="0" applyNumberFormat="1" applyFont="1" applyBorder="1" applyAlignment="1">
      <alignment horizontal="right"/>
    </xf>
    <xf numFmtId="0" fontId="4" fillId="0" borderId="3" xfId="0" quotePrefix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64" fontId="4" fillId="0" borderId="7" xfId="1" applyNumberFormat="1" applyFont="1" applyBorder="1"/>
    <xf numFmtId="164" fontId="4" fillId="0" borderId="8" xfId="1" applyNumberFormat="1" applyFont="1" applyBorder="1"/>
    <xf numFmtId="164" fontId="0" fillId="0" borderId="9" xfId="0" applyNumberFormat="1" applyBorder="1"/>
    <xf numFmtId="38" fontId="2" fillId="0" borderId="0" xfId="1" quotePrefix="1" applyNumberFormat="1" applyFont="1" applyFill="1" applyBorder="1" applyAlignment="1">
      <alignment horizontal="right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0" fillId="0" borderId="0" xfId="0"/>
    <xf numFmtId="43" fontId="0" fillId="0" borderId="5" xfId="1" applyFont="1" applyBorder="1"/>
    <xf numFmtId="43" fontId="4" fillId="0" borderId="6" xfId="1" applyFont="1" applyBorder="1"/>
    <xf numFmtId="43" fontId="4" fillId="0" borderId="5" xfId="1" applyFont="1" applyBorder="1"/>
    <xf numFmtId="43" fontId="0" fillId="0" borderId="6" xfId="1" applyFont="1" applyBorder="1"/>
    <xf numFmtId="43" fontId="0" fillId="0" borderId="7" xfId="1" applyFont="1" applyBorder="1"/>
    <xf numFmtId="43" fontId="0" fillId="0" borderId="9" xfId="1" applyFont="1" applyBorder="1"/>
    <xf numFmtId="38" fontId="4" fillId="0" borderId="0" xfId="1" applyNumberFormat="1" applyFont="1"/>
    <xf numFmtId="38" fontId="4" fillId="0" borderId="5" xfId="1" applyNumberFormat="1" applyFont="1" applyBorder="1"/>
    <xf numFmtId="43" fontId="6" fillId="0" borderId="0" xfId="1" applyFont="1" applyAlignment="1">
      <alignment horizontal="left"/>
    </xf>
    <xf numFmtId="38" fontId="0" fillId="6" borderId="12" xfId="0" applyNumberFormat="1" applyFill="1" applyBorder="1"/>
    <xf numFmtId="164" fontId="4" fillId="6" borderId="0" xfId="1" applyNumberFormat="1" applyFont="1" applyFill="1" applyBorder="1"/>
    <xf numFmtId="164" fontId="4" fillId="2" borderId="8" xfId="1" applyNumberFormat="1" applyFont="1" applyFill="1" applyBorder="1"/>
    <xf numFmtId="0" fontId="0" fillId="6" borderId="0" xfId="0" applyFill="1"/>
    <xf numFmtId="38" fontId="0" fillId="0" borderId="6" xfId="1" applyNumberFormat="1" applyFont="1" applyFill="1" applyBorder="1" applyAlignment="1">
      <alignment horizontal="right"/>
    </xf>
    <xf numFmtId="164" fontId="0" fillId="0" borderId="3" xfId="0" applyNumberFormat="1" applyBorder="1"/>
    <xf numFmtId="38" fontId="7" fillId="0" borderId="0" xfId="0" applyNumberFormat="1" applyFont="1" applyFill="1" applyBorder="1"/>
    <xf numFmtId="10" fontId="0" fillId="0" borderId="0" xfId="0" applyNumberFormat="1"/>
    <xf numFmtId="10" fontId="4" fillId="0" borderId="6" xfId="2" applyNumberFormat="1" applyFont="1" applyBorder="1"/>
    <xf numFmtId="10" fontId="0" fillId="0" borderId="9" xfId="0" applyNumberFormat="1" applyBorder="1"/>
    <xf numFmtId="0" fontId="2" fillId="0" borderId="4" xfId="0" applyFont="1" applyFill="1" applyBorder="1" applyAlignment="1">
      <alignment horizontal="right"/>
    </xf>
    <xf numFmtId="10" fontId="7" fillId="0" borderId="0" xfId="2" applyNumberFormat="1" applyFont="1" applyFill="1" applyBorder="1"/>
    <xf numFmtId="10" fontId="0" fillId="0" borderId="13" xfId="2" quotePrefix="1" applyNumberFormat="1" applyFont="1" applyBorder="1" applyAlignment="1">
      <alignment horizontal="right"/>
    </xf>
    <xf numFmtId="14" fontId="4" fillId="0" borderId="5" xfId="0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right"/>
    </xf>
    <xf numFmtId="164" fontId="2" fillId="0" borderId="6" xfId="1" applyNumberFormat="1" applyFont="1" applyBorder="1" applyAlignment="1">
      <alignment horizontal="right"/>
    </xf>
    <xf numFmtId="164" fontId="4" fillId="0" borderId="5" xfId="1" applyNumberFormat="1" applyFont="1" applyBorder="1"/>
    <xf numFmtId="164" fontId="4" fillId="0" borderId="6" xfId="1" applyNumberFormat="1" applyFont="1" applyBorder="1"/>
    <xf numFmtId="164" fontId="7" fillId="0" borderId="11" xfId="1" applyNumberFormat="1" applyFont="1" applyBorder="1"/>
    <xf numFmtId="164" fontId="7" fillId="0" borderId="12" xfId="1" applyNumberFormat="1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0" fontId="0" fillId="3" borderId="0" xfId="0" applyFill="1"/>
    <xf numFmtId="164" fontId="4" fillId="2" borderId="0" xfId="1" applyNumberFormat="1" applyFont="1" applyFill="1" applyBorder="1"/>
    <xf numFmtId="44" fontId="4" fillId="4" borderId="3" xfId="3" applyFont="1" applyFill="1" applyBorder="1"/>
    <xf numFmtId="0" fontId="0" fillId="4" borderId="4" xfId="0" applyFill="1" applyBorder="1"/>
    <xf numFmtId="0" fontId="2" fillId="0" borderId="0" xfId="0" applyFont="1" applyBorder="1" applyAlignment="1">
      <alignment horizontal="right"/>
    </xf>
    <xf numFmtId="0" fontId="2" fillId="0" borderId="6" xfId="0" quotePrefix="1" applyFont="1" applyBorder="1" applyAlignment="1">
      <alignment horizontal="right"/>
    </xf>
    <xf numFmtId="44" fontId="4" fillId="0" borderId="0" xfId="3" applyFont="1" applyBorder="1"/>
    <xf numFmtId="44" fontId="0" fillId="0" borderId="0" xfId="3" applyFont="1" applyBorder="1"/>
    <xf numFmtId="44" fontId="0" fillId="0" borderId="6" xfId="0" applyNumberFormat="1" applyBorder="1"/>
    <xf numFmtId="15" fontId="0" fillId="0" borderId="5" xfId="0" applyNumberFormat="1" applyBorder="1"/>
    <xf numFmtId="44" fontId="4" fillId="0" borderId="0" xfId="3" applyFont="1" applyFill="1" applyBorder="1"/>
    <xf numFmtId="44" fontId="4" fillId="4" borderId="0" xfId="3" applyFont="1" applyFill="1" applyBorder="1"/>
    <xf numFmtId="44" fontId="7" fillId="0" borderId="0" xfId="3" applyFont="1" applyBorder="1"/>
    <xf numFmtId="44" fontId="3" fillId="0" borderId="0" xfId="3" applyFont="1" applyBorder="1"/>
    <xf numFmtId="44" fontId="4" fillId="2" borderId="0" xfId="3" applyFont="1" applyFill="1" applyBorder="1"/>
    <xf numFmtId="43" fontId="2" fillId="0" borderId="0" xfId="1" applyFont="1"/>
    <xf numFmtId="43" fontId="2" fillId="0" borderId="0" xfId="1" quotePrefix="1" applyFont="1"/>
    <xf numFmtId="15" fontId="0" fillId="0" borderId="5" xfId="0" quotePrefix="1" applyNumberFormat="1" applyBorder="1"/>
    <xf numFmtId="43" fontId="4" fillId="0" borderId="0" xfId="1" applyFont="1"/>
    <xf numFmtId="0" fontId="2" fillId="0" borderId="8" xfId="0" applyFont="1" applyBorder="1" applyAlignment="1">
      <alignment horizontal="right"/>
    </xf>
    <xf numFmtId="43" fontId="4" fillId="2" borderId="0" xfId="1" applyFont="1" applyFill="1"/>
    <xf numFmtId="43" fontId="0" fillId="0" borderId="0" xfId="0" applyNumberFormat="1"/>
    <xf numFmtId="44" fontId="7" fillId="2" borderId="0" xfId="3" applyFont="1" applyFill="1" applyBorder="1"/>
    <xf numFmtId="10" fontId="4" fillId="0" borderId="3" xfId="2" applyNumberFormat="1" applyFont="1" applyBorder="1"/>
    <xf numFmtId="0" fontId="0" fillId="0" borderId="0" xfId="0"/>
    <xf numFmtId="0" fontId="12" fillId="0" borderId="0" xfId="0" applyFont="1" applyAlignment="1">
      <alignment horizontal="center"/>
    </xf>
    <xf numFmtId="0" fontId="0" fillId="0" borderId="0" xfId="0"/>
    <xf numFmtId="0" fontId="0" fillId="0" borderId="0" xfId="0"/>
    <xf numFmtId="44" fontId="4" fillId="0" borderId="0" xfId="3" applyFont="1"/>
    <xf numFmtId="44" fontId="0" fillId="0" borderId="3" xfId="0" applyNumberFormat="1" applyBorder="1"/>
    <xf numFmtId="0" fontId="0" fillId="0" borderId="0" xfId="0"/>
    <xf numFmtId="0" fontId="0" fillId="0" borderId="0" xfId="0"/>
    <xf numFmtId="38" fontId="7" fillId="0" borderId="10" xfId="1" applyNumberFormat="1" applyFont="1" applyBorder="1" applyAlignment="1">
      <alignment horizontal="right"/>
    </xf>
    <xf numFmtId="38" fontId="4" fillId="0" borderId="0" xfId="1" applyNumberFormat="1" applyFont="1" applyBorder="1"/>
    <xf numFmtId="0" fontId="0" fillId="0" borderId="0" xfId="0"/>
    <xf numFmtId="0" fontId="7" fillId="0" borderId="8" xfId="0" applyFont="1" applyBorder="1"/>
    <xf numFmtId="14" fontId="7" fillId="0" borderId="7" xfId="0" applyNumberFormat="1" applyFont="1" applyBorder="1" applyAlignment="1">
      <alignment horizontal="center"/>
    </xf>
    <xf numFmtId="38" fontId="7" fillId="0" borderId="7" xfId="1" applyNumberFormat="1" applyFont="1" applyBorder="1" applyAlignment="1">
      <alignment horizontal="right"/>
    </xf>
    <xf numFmtId="38" fontId="4" fillId="0" borderId="8" xfId="1" applyNumberFormat="1" applyFont="1" applyBorder="1" applyAlignment="1">
      <alignment horizontal="right"/>
    </xf>
    <xf numFmtId="0" fontId="7" fillId="0" borderId="8" xfId="0" applyFont="1" applyFill="1" applyBorder="1"/>
    <xf numFmtId="14" fontId="7" fillId="0" borderId="7" xfId="0" applyNumberFormat="1" applyFont="1" applyFill="1" applyBorder="1" applyAlignment="1">
      <alignment horizontal="center"/>
    </xf>
    <xf numFmtId="38" fontId="7" fillId="0" borderId="7" xfId="1" applyNumberFormat="1" applyFont="1" applyFill="1" applyBorder="1" applyAlignment="1">
      <alignment horizontal="right"/>
    </xf>
    <xf numFmtId="38" fontId="7" fillId="0" borderId="8" xfId="1" applyNumberFormat="1" applyFont="1" applyFill="1" applyBorder="1" applyAlignment="1">
      <alignment horizontal="right"/>
    </xf>
    <xf numFmtId="38" fontId="0" fillId="0" borderId="15" xfId="1" applyNumberFormat="1" applyFont="1" applyFill="1" applyBorder="1" applyAlignment="1">
      <alignment horizontal="right"/>
    </xf>
    <xf numFmtId="38" fontId="4" fillId="0" borderId="7" xfId="1" applyNumberFormat="1" applyFont="1" applyBorder="1" applyAlignment="1">
      <alignment horizontal="right"/>
    </xf>
    <xf numFmtId="14" fontId="4" fillId="0" borderId="2" xfId="0" applyNumberFormat="1" applyFont="1" applyBorder="1" applyAlignment="1">
      <alignment horizontal="center"/>
    </xf>
    <xf numFmtId="38" fontId="7" fillId="0" borderId="0" xfId="1" applyNumberFormat="1" applyFont="1" applyBorder="1"/>
    <xf numFmtId="38" fontId="7" fillId="0" borderId="0" xfId="1" applyNumberFormat="1" applyFont="1" applyFill="1" applyBorder="1"/>
    <xf numFmtId="38" fontId="0" fillId="0" borderId="0" xfId="1" applyNumberFormat="1" applyFont="1" applyFill="1" applyBorder="1"/>
    <xf numFmtId="38" fontId="4" fillId="0" borderId="0" xfId="1" applyNumberFormat="1" applyFont="1" applyFill="1" applyBorder="1"/>
    <xf numFmtId="0" fontId="4" fillId="0" borderId="0" xfId="1" quotePrefix="1" applyNumberFormat="1" applyFont="1" applyBorder="1"/>
    <xf numFmtId="38" fontId="4" fillId="0" borderId="7" xfId="1" applyNumberFormat="1" applyFont="1" applyFill="1" applyBorder="1" applyAlignment="1">
      <alignment horizontal="right"/>
    </xf>
    <xf numFmtId="38" fontId="4" fillId="0" borderId="8" xfId="1" applyNumberFormat="1" applyFont="1" applyFill="1" applyBorder="1" applyAlignment="1">
      <alignment horizontal="right"/>
    </xf>
    <xf numFmtId="38" fontId="7" fillId="0" borderId="15" xfId="1" applyNumberFormat="1" applyFont="1" applyFill="1" applyBorder="1" applyAlignment="1">
      <alignment horizontal="right"/>
    </xf>
    <xf numFmtId="38" fontId="4" fillId="0" borderId="7" xfId="1" applyNumberFormat="1" applyFont="1" applyFill="1" applyBorder="1"/>
    <xf numFmtId="38" fontId="7" fillId="0" borderId="8" xfId="1" applyNumberFormat="1" applyFont="1" applyFill="1" applyBorder="1" applyAlignment="1">
      <alignment horizontal="left"/>
    </xf>
    <xf numFmtId="164" fontId="0" fillId="0" borderId="15" xfId="1" applyNumberFormat="1" applyFont="1" applyFill="1" applyBorder="1" applyAlignment="1">
      <alignment horizontal="right"/>
    </xf>
    <xf numFmtId="38" fontId="0" fillId="0" borderId="8" xfId="1" applyNumberFormat="1" applyFont="1" applyFill="1" applyBorder="1" applyAlignment="1">
      <alignment horizontal="right"/>
    </xf>
    <xf numFmtId="38" fontId="0" fillId="0" borderId="7" xfId="1" applyNumberFormat="1" applyFont="1" applyFill="1" applyBorder="1" applyAlignment="1">
      <alignment horizontal="right"/>
    </xf>
    <xf numFmtId="0" fontId="0" fillId="0" borderId="0" xfId="0"/>
    <xf numFmtId="43" fontId="11" fillId="0" borderId="0" xfId="1" applyFont="1"/>
    <xf numFmtId="43" fontId="4" fillId="0" borderId="0" xfId="1" applyFont="1" applyFill="1"/>
    <xf numFmtId="43" fontId="4" fillId="0" borderId="0" xfId="1" applyFont="1" applyAlignment="1"/>
    <xf numFmtId="43" fontId="11" fillId="0" borderId="0" xfId="1" applyFont="1" applyFill="1"/>
    <xf numFmtId="43" fontId="9" fillId="0" borderId="0" xfId="1" applyFont="1" applyFill="1"/>
    <xf numFmtId="43" fontId="9" fillId="0" borderId="0" xfId="1" applyFont="1"/>
    <xf numFmtId="43" fontId="4" fillId="0" borderId="0" xfId="1" applyFont="1" applyAlignment="1">
      <alignment horizontal="center"/>
    </xf>
    <xf numFmtId="40" fontId="0" fillId="0" borderId="10" xfId="1" applyNumberFormat="1" applyFont="1" applyBorder="1" applyAlignment="1">
      <alignment horizontal="right"/>
    </xf>
    <xf numFmtId="0" fontId="0" fillId="0" borderId="5" xfId="0" applyBorder="1" applyAlignment="1">
      <alignment horizontal="left"/>
    </xf>
    <xf numFmtId="164" fontId="13" fillId="0" borderId="6" xfId="1" applyNumberFormat="1" applyFont="1" applyFill="1" applyBorder="1"/>
    <xf numFmtId="164" fontId="13" fillId="0" borderId="9" xfId="1" applyNumberFormat="1" applyFont="1" applyFill="1" applyBorder="1"/>
    <xf numFmtId="38" fontId="4" fillId="6" borderId="0" xfId="1" applyNumberFormat="1" applyFont="1" applyFill="1" applyBorder="1"/>
    <xf numFmtId="38" fontId="4" fillId="2" borderId="6" xfId="1" applyNumberFormat="1" applyFont="1" applyFill="1" applyBorder="1"/>
    <xf numFmtId="38" fontId="0" fillId="0" borderId="13" xfId="1" applyNumberFormat="1" applyFont="1" applyBorder="1"/>
    <xf numFmtId="38" fontId="0" fillId="0" borderId="12" xfId="0" applyNumberFormat="1" applyFill="1" applyBorder="1"/>
    <xf numFmtId="38" fontId="13" fillId="0" borderId="0" xfId="0" applyNumberFormat="1" applyFont="1" applyBorder="1"/>
    <xf numFmtId="38" fontId="13" fillId="0" borderId="6" xfId="1" applyNumberFormat="1" applyFont="1" applyBorder="1"/>
    <xf numFmtId="38" fontId="13" fillId="0" borderId="0" xfId="1" applyNumberFormat="1" applyFont="1" applyBorder="1"/>
    <xf numFmtId="38" fontId="5" fillId="0" borderId="6" xfId="0" applyNumberFormat="1" applyFont="1" applyFill="1" applyBorder="1"/>
    <xf numFmtId="38" fontId="13" fillId="0" borderId="6" xfId="0" applyNumberFormat="1" applyFont="1" applyFill="1" applyBorder="1"/>
    <xf numFmtId="38" fontId="13" fillId="0" borderId="9" xfId="0" applyNumberFormat="1" applyFont="1" applyFill="1" applyBorder="1"/>
    <xf numFmtId="38" fontId="0" fillId="2" borderId="0" xfId="1" applyNumberFormat="1" applyFont="1" applyFill="1"/>
    <xf numFmtId="38" fontId="0" fillId="2" borderId="0" xfId="1" applyNumberFormat="1" applyFont="1" applyFill="1" applyBorder="1" applyAlignment="1">
      <alignment horizontal="right"/>
    </xf>
    <xf numFmtId="43" fontId="14" fillId="4" borderId="0" xfId="1" applyFont="1" applyFill="1"/>
    <xf numFmtId="38" fontId="4" fillId="2" borderId="0" xfId="1" applyNumberFormat="1" applyFont="1" applyFill="1" applyBorder="1" applyAlignment="1">
      <alignment horizontal="right"/>
    </xf>
    <xf numFmtId="38" fontId="4" fillId="2" borderId="6" xfId="1" applyNumberFormat="1" applyFont="1" applyFill="1" applyBorder="1" applyAlignment="1">
      <alignment horizontal="right"/>
    </xf>
    <xf numFmtId="43" fontId="9" fillId="2" borderId="0" xfId="1" applyFont="1" applyFill="1"/>
    <xf numFmtId="0" fontId="0" fillId="0" borderId="0" xfId="0"/>
    <xf numFmtId="164" fontId="13" fillId="0" borderId="4" xfId="0" applyNumberFormat="1" applyFont="1" applyFill="1" applyBorder="1"/>
    <xf numFmtId="164" fontId="13" fillId="0" borderId="9" xfId="0" applyNumberFormat="1" applyFont="1" applyFill="1" applyBorder="1"/>
    <xf numFmtId="38" fontId="15" fillId="0" borderId="0" xfId="1" applyNumberFormat="1" applyFont="1" applyBorder="1" applyAlignment="1">
      <alignment horizontal="right"/>
    </xf>
    <xf numFmtId="0" fontId="0" fillId="0" borderId="0" xfId="0"/>
    <xf numFmtId="38" fontId="0" fillId="2" borderId="10" xfId="1" applyNumberFormat="1" applyFont="1" applyFill="1" applyBorder="1" applyAlignment="1">
      <alignment horizontal="right"/>
    </xf>
    <xf numFmtId="0" fontId="0" fillId="0" borderId="0" xfId="0"/>
    <xf numFmtId="0" fontId="0" fillId="2" borderId="0" xfId="0" quotePrefix="1" applyFill="1"/>
    <xf numFmtId="0" fontId="0" fillId="0" borderId="0" xfId="0"/>
    <xf numFmtId="0" fontId="6" fillId="2" borderId="0" xfId="0" applyFont="1" applyFill="1"/>
    <xf numFmtId="164" fontId="7" fillId="0" borderId="8" xfId="1" applyNumberFormat="1" applyFont="1" applyFill="1" applyBorder="1"/>
    <xf numFmtId="38" fontId="2" fillId="0" borderId="11" xfId="1" applyNumberFormat="1" applyFont="1" applyFill="1" applyBorder="1" applyAlignment="1">
      <alignment horizontal="right"/>
    </xf>
    <xf numFmtId="38" fontId="2" fillId="0" borderId="13" xfId="1" quotePrefix="1" applyNumberFormat="1" applyFont="1" applyFill="1" applyBorder="1" applyAlignment="1">
      <alignment horizontal="right"/>
    </xf>
    <xf numFmtId="38" fontId="2" fillId="0" borderId="13" xfId="1" applyNumberFormat="1" applyFont="1" applyFill="1" applyBorder="1" applyAlignment="1">
      <alignment horizontal="right"/>
    </xf>
    <xf numFmtId="0" fontId="2" fillId="0" borderId="12" xfId="0" applyFont="1" applyBorder="1" applyAlignment="1">
      <alignment horizontal="right"/>
    </xf>
    <xf numFmtId="43" fontId="9" fillId="2" borderId="5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38" fontId="0" fillId="5" borderId="14" xfId="1" applyNumberFormat="1" applyFont="1" applyFill="1" applyBorder="1" applyAlignment="1">
      <alignment horizontal="center" vertical="center"/>
    </xf>
    <xf numFmtId="38" fontId="0" fillId="5" borderId="15" xfId="1" applyNumberFormat="1" applyFont="1" applyFill="1" applyBorder="1" applyAlignment="1">
      <alignment horizontal="center" vertical="center"/>
    </xf>
    <xf numFmtId="38" fontId="7" fillId="0" borderId="5" xfId="1" applyNumberFormat="1" applyFont="1" applyBorder="1" applyAlignment="1">
      <alignment horizontal="center"/>
    </xf>
    <xf numFmtId="38" fontId="7" fillId="0" borderId="0" xfId="1" applyNumberFormat="1" applyFont="1" applyBorder="1" applyAlignment="1">
      <alignment horizontal="center"/>
    </xf>
    <xf numFmtId="38" fontId="7" fillId="0" borderId="6" xfId="1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38" fontId="0" fillId="0" borderId="7" xfId="1" applyNumberFormat="1" applyFont="1" applyBorder="1" applyAlignment="1">
      <alignment horizontal="center"/>
    </xf>
    <xf numFmtId="38" fontId="0" fillId="0" borderId="8" xfId="1" applyNumberFormat="1" applyFont="1" applyBorder="1" applyAlignment="1">
      <alignment horizontal="center"/>
    </xf>
    <xf numFmtId="38" fontId="0" fillId="0" borderId="9" xfId="1" applyNumberFormat="1" applyFont="1" applyBorder="1" applyAlignment="1">
      <alignment horizontal="center"/>
    </xf>
    <xf numFmtId="38" fontId="0" fillId="0" borderId="5" xfId="1" applyNumberFormat="1" applyFont="1" applyBorder="1" applyAlignment="1">
      <alignment horizontal="center"/>
    </xf>
    <xf numFmtId="38" fontId="0" fillId="0" borderId="0" xfId="1" applyNumberFormat="1" applyFont="1" applyBorder="1" applyAlignment="1">
      <alignment horizontal="center"/>
    </xf>
    <xf numFmtId="38" fontId="0" fillId="0" borderId="6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3" fontId="7" fillId="0" borderId="11" xfId="1" applyNumberFormat="1" applyFont="1" applyBorder="1" applyAlignment="1">
      <alignment horizontal="center"/>
    </xf>
    <xf numFmtId="3" fontId="7" fillId="0" borderId="12" xfId="1" applyNumberFormat="1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0" fillId="0" borderId="0" xfId="0"/>
  </cellXfs>
  <cellStyles count="6">
    <cellStyle name="Comma" xfId="1" builtinId="3"/>
    <cellStyle name="Currency" xfId="3" builtinId="4"/>
    <cellStyle name="Normal" xfId="0" builtinId="0"/>
    <cellStyle name="Normal 2" xfId="5"/>
    <cellStyle name="Normal 4" xfId="4"/>
    <cellStyle name="Percent" xfId="2" builtinId="5"/>
  </cellStyles>
  <dxfs count="0"/>
  <tableStyles count="0" defaultTableStyle="TableStyleMedium9" defaultPivotStyle="PivotStyleLight16"/>
  <colors>
    <mruColors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val>
            <c:numRef>
              <c:f>'Other Info'!$F$114:$F$126</c:f>
              <c:numCache>
                <c:formatCode>_("$"* #,##0.00_);_("$"* \(#,##0.00\);_("$"* "-"??_);_(@_)</c:formatCode>
                <c:ptCount val="13"/>
                <c:pt idx="0">
                  <c:v>835274.24000000022</c:v>
                </c:pt>
                <c:pt idx="1">
                  <c:v>519046.16999999993</c:v>
                </c:pt>
                <c:pt idx="2">
                  <c:v>299837.48000000045</c:v>
                </c:pt>
                <c:pt idx="3">
                  <c:v>-967776.85999999987</c:v>
                </c:pt>
                <c:pt idx="4">
                  <c:v>-1369070.08</c:v>
                </c:pt>
                <c:pt idx="5">
                  <c:v>-1352963.5299999998</c:v>
                </c:pt>
                <c:pt idx="6">
                  <c:v>-1504901.8399999999</c:v>
                </c:pt>
                <c:pt idx="7">
                  <c:v>-1190009.2000000002</c:v>
                </c:pt>
                <c:pt idx="8">
                  <c:v>-596449.78000000026</c:v>
                </c:pt>
                <c:pt idx="9">
                  <c:v>110939.79999999981</c:v>
                </c:pt>
                <c:pt idx="10">
                  <c:v>-260785.32999999961</c:v>
                </c:pt>
                <c:pt idx="11">
                  <c:v>162213.1799999997</c:v>
                </c:pt>
                <c:pt idx="12">
                  <c:v>100425.37000000011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0848672"/>
        <c:axId val="320849064"/>
        <c:axId val="318611064"/>
      </c:line3DChart>
      <c:catAx>
        <c:axId val="320848672"/>
        <c:scaling>
          <c:orientation val="minMax"/>
        </c:scaling>
        <c:delete val="0"/>
        <c:axPos val="b"/>
        <c:majorTickMark val="out"/>
        <c:minorTickMark val="none"/>
        <c:tickLblPos val="nextTo"/>
        <c:crossAx val="320849064"/>
        <c:crosses val="autoZero"/>
        <c:auto val="1"/>
        <c:lblAlgn val="ctr"/>
        <c:lblOffset val="100"/>
        <c:noMultiLvlLbl val="0"/>
      </c:catAx>
      <c:valAx>
        <c:axId val="320849064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320848672"/>
        <c:crosses val="autoZero"/>
        <c:crossBetween val="between"/>
      </c:valAx>
      <c:serAx>
        <c:axId val="318611064"/>
        <c:scaling>
          <c:orientation val="minMax"/>
        </c:scaling>
        <c:delete val="0"/>
        <c:axPos val="b"/>
        <c:majorTickMark val="out"/>
        <c:minorTickMark val="none"/>
        <c:tickLblPos val="nextTo"/>
        <c:crossAx val="320849064"/>
        <c:crosses val="autoZero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val>
            <c:numRef>
              <c:f>'Other Info'!$F$80:$F$92</c:f>
              <c:numCache>
                <c:formatCode>_("$"* #,##0.00_);_("$"* \(#,##0.00\);_("$"* "-"??_);_(@_)</c:formatCode>
                <c:ptCount val="13"/>
                <c:pt idx="0">
                  <c:v>639577.91000000015</c:v>
                </c:pt>
                <c:pt idx="1">
                  <c:v>772484.34000000078</c:v>
                </c:pt>
                <c:pt idx="2">
                  <c:v>744221.08999999985</c:v>
                </c:pt>
                <c:pt idx="3">
                  <c:v>-556986.31999999983</c:v>
                </c:pt>
                <c:pt idx="4">
                  <c:v>-816542.71</c:v>
                </c:pt>
                <c:pt idx="5">
                  <c:v>-871408.30000000028</c:v>
                </c:pt>
                <c:pt idx="6">
                  <c:v>-888437.00999999978</c:v>
                </c:pt>
                <c:pt idx="7">
                  <c:v>-1081861.3299999996</c:v>
                </c:pt>
                <c:pt idx="8">
                  <c:v>-292264.23</c:v>
                </c:pt>
                <c:pt idx="9">
                  <c:v>726975.8599999994</c:v>
                </c:pt>
                <c:pt idx="10">
                  <c:v>588004.37999999896</c:v>
                </c:pt>
                <c:pt idx="11">
                  <c:v>228512.77000000002</c:v>
                </c:pt>
                <c:pt idx="12">
                  <c:v>474791.16999999899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0852200"/>
        <c:axId val="320851416"/>
        <c:axId val="373202016"/>
      </c:line3DChart>
      <c:catAx>
        <c:axId val="320852200"/>
        <c:scaling>
          <c:orientation val="minMax"/>
        </c:scaling>
        <c:delete val="0"/>
        <c:axPos val="b"/>
        <c:majorTickMark val="out"/>
        <c:minorTickMark val="none"/>
        <c:tickLblPos val="nextTo"/>
        <c:crossAx val="320851416"/>
        <c:crosses val="autoZero"/>
        <c:auto val="1"/>
        <c:lblAlgn val="ctr"/>
        <c:lblOffset val="100"/>
        <c:noMultiLvlLbl val="0"/>
      </c:catAx>
      <c:valAx>
        <c:axId val="320851416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320852200"/>
        <c:crosses val="autoZero"/>
        <c:crossBetween val="between"/>
      </c:valAx>
      <c:serAx>
        <c:axId val="373202016"/>
        <c:scaling>
          <c:orientation val="minMax"/>
        </c:scaling>
        <c:delete val="0"/>
        <c:axPos val="b"/>
        <c:majorTickMark val="out"/>
        <c:minorTickMark val="none"/>
        <c:tickLblPos val="nextTo"/>
        <c:crossAx val="320851416"/>
        <c:crosses val="autoZero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val>
            <c:numRef>
              <c:f>'Other Info'!$F$45:$F$57</c:f>
              <c:numCache>
                <c:formatCode>_("$"* #,##0.00_);_("$"* \(#,##0.00\);_("$"* "-"??_);_(@_)</c:formatCode>
                <c:ptCount val="13"/>
                <c:pt idx="0">
                  <c:v>893844.44999999925</c:v>
                </c:pt>
                <c:pt idx="1">
                  <c:v>863466.75</c:v>
                </c:pt>
                <c:pt idx="2">
                  <c:v>1265501.0899999999</c:v>
                </c:pt>
                <c:pt idx="3">
                  <c:v>-358523.1799999997</c:v>
                </c:pt>
                <c:pt idx="4">
                  <c:v>-638362.91999999993</c:v>
                </c:pt>
                <c:pt idx="5">
                  <c:v>-744979.90000000037</c:v>
                </c:pt>
                <c:pt idx="6">
                  <c:v>-1002096.7999999998</c:v>
                </c:pt>
                <c:pt idx="7">
                  <c:v>95081.589999999851</c:v>
                </c:pt>
                <c:pt idx="8">
                  <c:v>722890.31999999983</c:v>
                </c:pt>
                <c:pt idx="9">
                  <c:v>1430244.6799999997</c:v>
                </c:pt>
                <c:pt idx="10">
                  <c:v>1433136.0500000007</c:v>
                </c:pt>
                <c:pt idx="11">
                  <c:v>1485045.2599999998</c:v>
                </c:pt>
                <c:pt idx="12">
                  <c:v>1059279.3800000008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0852984"/>
        <c:axId val="320853376"/>
        <c:axId val="373203712"/>
      </c:line3DChart>
      <c:catAx>
        <c:axId val="320852984"/>
        <c:scaling>
          <c:orientation val="minMax"/>
        </c:scaling>
        <c:delete val="0"/>
        <c:axPos val="b"/>
        <c:majorTickMark val="out"/>
        <c:minorTickMark val="none"/>
        <c:tickLblPos val="nextTo"/>
        <c:crossAx val="320853376"/>
        <c:crosses val="autoZero"/>
        <c:auto val="1"/>
        <c:lblAlgn val="ctr"/>
        <c:lblOffset val="100"/>
        <c:noMultiLvlLbl val="0"/>
      </c:catAx>
      <c:valAx>
        <c:axId val="320853376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320852984"/>
        <c:crosses val="autoZero"/>
        <c:crossBetween val="between"/>
      </c:valAx>
      <c:serAx>
        <c:axId val="373203712"/>
        <c:scaling>
          <c:orientation val="minMax"/>
        </c:scaling>
        <c:delete val="0"/>
        <c:axPos val="b"/>
        <c:majorTickMark val="out"/>
        <c:minorTickMark val="none"/>
        <c:tickLblPos val="nextTo"/>
        <c:crossAx val="320853376"/>
        <c:crosses val="autoZero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val>
            <c:numRef>
              <c:f>'Other Info'!$F$10:$F$22</c:f>
              <c:numCache>
                <c:formatCode>_("$"* #,##0.00_);_("$"* \(#,##0.00\);_("$"* "-"??_);_(@_)</c:formatCode>
                <c:ptCount val="13"/>
                <c:pt idx="0">
                  <c:v>1227158.9800000004</c:v>
                </c:pt>
                <c:pt idx="1">
                  <c:v>1326977.0899999999</c:v>
                </c:pt>
                <c:pt idx="2">
                  <c:v>1408086.9099999997</c:v>
                </c:pt>
                <c:pt idx="3">
                  <c:v>-192272.20000000019</c:v>
                </c:pt>
                <c:pt idx="4">
                  <c:v>-437772.29000000004</c:v>
                </c:pt>
                <c:pt idx="5">
                  <c:v>-256690.06999999983</c:v>
                </c:pt>
                <c:pt idx="6">
                  <c:v>-777693.46</c:v>
                </c:pt>
                <c:pt idx="7">
                  <c:v>348684.10000000009</c:v>
                </c:pt>
                <c:pt idx="8">
                  <c:v>1465064.5300000003</c:v>
                </c:pt>
                <c:pt idx="9">
                  <c:v>1614792.12</c:v>
                </c:pt>
                <c:pt idx="10">
                  <c:v>1703522.25</c:v>
                </c:pt>
                <c:pt idx="11">
                  <c:v>1751057.580000001</c:v>
                </c:pt>
                <c:pt idx="12">
                  <c:v>1700399.3600000003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0854160"/>
        <c:axId val="320854552"/>
        <c:axId val="373203288"/>
      </c:line3DChart>
      <c:catAx>
        <c:axId val="320854160"/>
        <c:scaling>
          <c:orientation val="minMax"/>
        </c:scaling>
        <c:delete val="0"/>
        <c:axPos val="b"/>
        <c:majorTickMark val="out"/>
        <c:minorTickMark val="none"/>
        <c:tickLblPos val="nextTo"/>
        <c:crossAx val="320854552"/>
        <c:crosses val="autoZero"/>
        <c:auto val="1"/>
        <c:lblAlgn val="ctr"/>
        <c:lblOffset val="100"/>
        <c:noMultiLvlLbl val="0"/>
      </c:catAx>
      <c:valAx>
        <c:axId val="32085455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320854160"/>
        <c:crosses val="autoZero"/>
        <c:crossBetween val="between"/>
      </c:valAx>
      <c:serAx>
        <c:axId val="373203288"/>
        <c:scaling>
          <c:orientation val="minMax"/>
        </c:scaling>
        <c:delete val="0"/>
        <c:axPos val="b"/>
        <c:majorTickMark val="out"/>
        <c:minorTickMark val="none"/>
        <c:tickLblPos val="nextTo"/>
        <c:crossAx val="320854552"/>
        <c:crosses val="autoZero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128</xdr:row>
      <xdr:rowOff>114299</xdr:rowOff>
    </xdr:from>
    <xdr:to>
      <xdr:col>4</xdr:col>
      <xdr:colOff>1114425</xdr:colOff>
      <xdr:row>142</xdr:row>
      <xdr:rowOff>9524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94</xdr:row>
      <xdr:rowOff>114299</xdr:rowOff>
    </xdr:from>
    <xdr:to>
      <xdr:col>4</xdr:col>
      <xdr:colOff>1114425</xdr:colOff>
      <xdr:row>108</xdr:row>
      <xdr:rowOff>9524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59</xdr:row>
      <xdr:rowOff>114299</xdr:rowOff>
    </xdr:from>
    <xdr:to>
      <xdr:col>4</xdr:col>
      <xdr:colOff>1114425</xdr:colOff>
      <xdr:row>73</xdr:row>
      <xdr:rowOff>9524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114300</xdr:colOff>
      <xdr:row>24</xdr:row>
      <xdr:rowOff>114299</xdr:rowOff>
    </xdr:from>
    <xdr:to>
      <xdr:col>4</xdr:col>
      <xdr:colOff>1114425</xdr:colOff>
      <xdr:row>38</xdr:row>
      <xdr:rowOff>9524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24"/>
  <sheetViews>
    <sheetView topLeftCell="A7" workbookViewId="0">
      <selection activeCell="C27" sqref="C27"/>
    </sheetView>
  </sheetViews>
  <sheetFormatPr defaultRowHeight="15.6" x14ac:dyDescent="0.3"/>
  <sheetData>
    <row r="1" spans="1:1" x14ac:dyDescent="0.3">
      <c r="A1" t="s">
        <v>251</v>
      </c>
    </row>
    <row r="2" spans="1:1" s="282" customFormat="1" x14ac:dyDescent="0.3">
      <c r="A2" s="282" t="s">
        <v>273</v>
      </c>
    </row>
    <row r="3" spans="1:1" x14ac:dyDescent="0.3">
      <c r="A3" t="s">
        <v>252</v>
      </c>
    </row>
    <row r="4" spans="1:1" x14ac:dyDescent="0.3">
      <c r="A4" t="s">
        <v>253</v>
      </c>
    </row>
    <row r="5" spans="1:1" s="282" customFormat="1" x14ac:dyDescent="0.3">
      <c r="A5" s="282" t="s">
        <v>271</v>
      </c>
    </row>
    <row r="6" spans="1:1" x14ac:dyDescent="0.3">
      <c r="A6" t="s">
        <v>254</v>
      </c>
    </row>
    <row r="7" spans="1:1" x14ac:dyDescent="0.3">
      <c r="A7" t="s">
        <v>255</v>
      </c>
    </row>
    <row r="9" spans="1:1" x14ac:dyDescent="0.3">
      <c r="A9" t="s">
        <v>256</v>
      </c>
    </row>
    <row r="11" spans="1:1" x14ac:dyDescent="0.3">
      <c r="A11" t="s">
        <v>257</v>
      </c>
    </row>
    <row r="12" spans="1:1" s="254" customFormat="1" x14ac:dyDescent="0.3">
      <c r="A12" s="254" t="s">
        <v>267</v>
      </c>
    </row>
    <row r="14" spans="1:1" x14ac:dyDescent="0.3">
      <c r="A14" t="s">
        <v>258</v>
      </c>
    </row>
    <row r="15" spans="1:1" x14ac:dyDescent="0.3">
      <c r="A15" t="s">
        <v>259</v>
      </c>
    </row>
    <row r="16" spans="1:1" x14ac:dyDescent="0.3">
      <c r="A16" t="s">
        <v>272</v>
      </c>
    </row>
    <row r="17" spans="1:1" x14ac:dyDescent="0.3">
      <c r="A17" t="s">
        <v>260</v>
      </c>
    </row>
    <row r="18" spans="1:1" x14ac:dyDescent="0.3">
      <c r="A18" t="s">
        <v>261</v>
      </c>
    </row>
    <row r="20" spans="1:1" x14ac:dyDescent="0.3">
      <c r="A20" t="s">
        <v>264</v>
      </c>
    </row>
    <row r="21" spans="1:1" x14ac:dyDescent="0.3">
      <c r="A21" t="s">
        <v>266</v>
      </c>
    </row>
    <row r="23" spans="1:1" x14ac:dyDescent="0.3">
      <c r="A23" t="s">
        <v>274</v>
      </c>
    </row>
    <row r="24" spans="1:1" x14ac:dyDescent="0.3">
      <c r="A24" t="s">
        <v>275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S619"/>
  <sheetViews>
    <sheetView tabSelected="1" zoomScaleNormal="100" workbookViewId="0">
      <pane ySplit="4" topLeftCell="A422" activePane="bottomLeft" state="frozen"/>
      <selection pane="bottomLeft" activeCell="J437" sqref="J437"/>
    </sheetView>
  </sheetViews>
  <sheetFormatPr defaultRowHeight="15.6" x14ac:dyDescent="0.3"/>
  <cols>
    <col min="1" max="1" width="10.59765625" customWidth="1"/>
    <col min="2" max="2" width="11.59765625" customWidth="1"/>
    <col min="3" max="10" width="12.59765625" style="78" customWidth="1"/>
    <col min="11" max="11" width="15.8984375" style="213" customWidth="1"/>
    <col min="12" max="12" width="12.59765625" style="92" bestFit="1" customWidth="1"/>
    <col min="13" max="13" width="13.19921875" bestFit="1" customWidth="1"/>
    <col min="14" max="14" width="13.59765625" bestFit="1" customWidth="1"/>
    <col min="15" max="17" width="12.59765625" customWidth="1"/>
    <col min="18" max="19" width="12.59765625" bestFit="1" customWidth="1"/>
  </cols>
  <sheetData>
    <row r="1" spans="1:19" x14ac:dyDescent="0.3">
      <c r="A1" s="5" t="s">
        <v>247</v>
      </c>
      <c r="B1" s="6"/>
      <c r="C1" s="63"/>
      <c r="D1" s="64"/>
      <c r="E1" s="63"/>
      <c r="F1" s="63"/>
      <c r="G1" s="63"/>
      <c r="H1" s="63"/>
      <c r="I1" s="63"/>
      <c r="J1" s="63"/>
    </row>
    <row r="2" spans="1:19" x14ac:dyDescent="0.3">
      <c r="A2" s="5" t="s">
        <v>0</v>
      </c>
      <c r="B2" s="6"/>
      <c r="C2" s="63"/>
      <c r="D2" s="64"/>
      <c r="E2" s="63"/>
      <c r="F2" s="63"/>
      <c r="G2" s="63"/>
      <c r="H2" s="63"/>
      <c r="I2" s="63"/>
      <c r="J2" s="63"/>
      <c r="M2" s="160" t="s">
        <v>137</v>
      </c>
    </row>
    <row r="3" spans="1:19" x14ac:dyDescent="0.3">
      <c r="A3" s="5"/>
      <c r="B3" s="38"/>
      <c r="C3" s="65"/>
      <c r="D3" s="65"/>
      <c r="E3" s="65"/>
      <c r="F3" s="65"/>
      <c r="G3" s="65"/>
      <c r="H3" s="65"/>
      <c r="I3" s="65"/>
      <c r="J3" s="65"/>
      <c r="M3" s="161" t="s">
        <v>138</v>
      </c>
    </row>
    <row r="4" spans="1:19" x14ac:dyDescent="0.3">
      <c r="A4" s="7" t="s">
        <v>3</v>
      </c>
      <c r="B4" s="13" t="s">
        <v>1</v>
      </c>
      <c r="C4" s="66" t="s">
        <v>13</v>
      </c>
      <c r="D4" s="67" t="s">
        <v>21</v>
      </c>
      <c r="E4" s="67" t="s">
        <v>11</v>
      </c>
      <c r="F4" s="66" t="s">
        <v>78</v>
      </c>
      <c r="G4" s="67" t="s">
        <v>77</v>
      </c>
      <c r="H4" s="67" t="s">
        <v>29</v>
      </c>
      <c r="I4" s="67" t="s">
        <v>30</v>
      </c>
      <c r="J4" s="68" t="s">
        <v>2</v>
      </c>
      <c r="L4" s="95" t="s">
        <v>79</v>
      </c>
      <c r="M4" s="159" t="s">
        <v>139</v>
      </c>
      <c r="N4" s="95" t="s">
        <v>83</v>
      </c>
    </row>
    <row r="5" spans="1:19" x14ac:dyDescent="0.3">
      <c r="A5" s="299" t="s">
        <v>128</v>
      </c>
      <c r="B5" s="300"/>
      <c r="C5" s="300"/>
      <c r="D5" s="300"/>
      <c r="E5" s="300"/>
      <c r="F5" s="300"/>
      <c r="G5" s="300"/>
      <c r="H5" s="300"/>
      <c r="I5" s="301"/>
      <c r="J5" s="113">
        <f>Data!$I$8</f>
        <v>1972218.9</v>
      </c>
      <c r="M5" s="59"/>
      <c r="N5" s="59"/>
      <c r="O5" s="100"/>
      <c r="P5" s="59"/>
      <c r="Q5" s="59"/>
      <c r="R5" s="59"/>
      <c r="S5" s="59"/>
    </row>
    <row r="6" spans="1:19" s="229" customFormat="1" x14ac:dyDescent="0.3">
      <c r="A6" s="129" t="str">
        <f>VLOOKUP(WEEKDAY(B6),Data!$A$2:$B$8,2)</f>
        <v>Monday</v>
      </c>
      <c r="B6" s="186">
        <v>43101</v>
      </c>
      <c r="C6" s="74"/>
      <c r="D6" s="73"/>
      <c r="E6" s="73"/>
      <c r="F6" s="74"/>
      <c r="G6" s="73"/>
      <c r="H6" s="73"/>
      <c r="I6" s="73"/>
      <c r="J6" s="72">
        <f>$J$5+SUM(C6:E6)-SUM(F6:I6)</f>
        <v>1972218.9</v>
      </c>
      <c r="K6" s="213"/>
      <c r="L6" s="162"/>
    </row>
    <row r="7" spans="1:19" s="229" customFormat="1" x14ac:dyDescent="0.3">
      <c r="A7" s="129" t="str">
        <f>VLOOKUP(WEEKDAY(B7),Data!$A$2:$B$8,2)</f>
        <v>Tuesday</v>
      </c>
      <c r="B7" s="130">
        <f t="shared" ref="B7:B70" si="0">B6+1</f>
        <v>43102</v>
      </c>
      <c r="C7" s="74"/>
      <c r="D7" s="73"/>
      <c r="E7" s="73"/>
      <c r="F7" s="74"/>
      <c r="G7" s="73"/>
      <c r="H7" s="73"/>
      <c r="I7" s="73"/>
      <c r="J7" s="72">
        <f>J6+SUM(C7:E7)-SUM(F7:I7)</f>
        <v>1972218.9</v>
      </c>
      <c r="K7" s="213"/>
    </row>
    <row r="8" spans="1:19" s="229" customFormat="1" x14ac:dyDescent="0.3">
      <c r="A8" s="129" t="str">
        <f>VLOOKUP(WEEKDAY(B8),Data!$A$2:$B$8,2)</f>
        <v>Wednesday</v>
      </c>
      <c r="B8" s="130">
        <f t="shared" si="0"/>
        <v>43103</v>
      </c>
      <c r="C8" s="74"/>
      <c r="D8" s="73"/>
      <c r="E8" s="73"/>
      <c r="F8" s="74"/>
      <c r="G8" s="73"/>
      <c r="H8" s="73"/>
      <c r="I8" s="73"/>
      <c r="J8" s="141">
        <f t="shared" ref="J8:J9" si="1">J7+SUM(C8:E8)-SUM(F8:I8)</f>
        <v>1972218.9</v>
      </c>
      <c r="K8" s="213"/>
    </row>
    <row r="9" spans="1:19" s="229" customFormat="1" x14ac:dyDescent="0.3">
      <c r="A9" s="129" t="str">
        <f>VLOOKUP(WEEKDAY(B9),Data!$A$2:$B$8,2)</f>
        <v>Thursday</v>
      </c>
      <c r="B9" s="130">
        <f t="shared" si="0"/>
        <v>43104</v>
      </c>
      <c r="C9" s="74"/>
      <c r="D9" s="73"/>
      <c r="E9" s="73"/>
      <c r="F9" s="74"/>
      <c r="G9" s="73"/>
      <c r="H9" s="102">
        <f>Data!$I$40</f>
        <v>8000</v>
      </c>
      <c r="I9" s="102">
        <f>Data!$I$47</f>
        <v>53000</v>
      </c>
      <c r="J9" s="72">
        <f t="shared" si="1"/>
        <v>1911218.9</v>
      </c>
      <c r="K9" s="213"/>
    </row>
    <row r="10" spans="1:19" s="229" customFormat="1" x14ac:dyDescent="0.3">
      <c r="A10" s="129" t="str">
        <f>VLOOKUP(WEEKDAY(B10),Data!$A$2:$B$8,2)</f>
        <v>Friday</v>
      </c>
      <c r="B10" s="130">
        <f t="shared" si="0"/>
        <v>43105</v>
      </c>
      <c r="C10" s="74"/>
      <c r="D10" s="73"/>
      <c r="E10" s="138">
        <f>Data!$D$43</f>
        <v>6000</v>
      </c>
      <c r="F10" s="108">
        <f>Data!$I$24</f>
        <v>671000</v>
      </c>
      <c r="G10" s="73"/>
      <c r="H10" s="73"/>
      <c r="I10" s="73"/>
      <c r="J10" s="72">
        <f t="shared" ref="J10:J18" si="2">J9+SUM(C10:E10)-SUM(F10:I10)</f>
        <v>1246218.8999999999</v>
      </c>
      <c r="K10" s="213"/>
    </row>
    <row r="11" spans="1:19" s="229" customFormat="1" x14ac:dyDescent="0.3">
      <c r="A11" s="230" t="str">
        <f>VLOOKUP(WEEKDAY(B11),Data!$A$2:$B$8,2)</f>
        <v>Saturday</v>
      </c>
      <c r="B11" s="231">
        <f t="shared" si="0"/>
        <v>43106</v>
      </c>
      <c r="C11" s="239"/>
      <c r="D11" s="233"/>
      <c r="E11" s="233"/>
      <c r="F11" s="239"/>
      <c r="G11" s="233"/>
      <c r="H11" s="233"/>
      <c r="I11" s="233"/>
      <c r="J11" s="86">
        <f t="shared" si="2"/>
        <v>1246218.8999999999</v>
      </c>
      <c r="K11" s="213"/>
    </row>
    <row r="12" spans="1:19" s="229" customFormat="1" x14ac:dyDescent="0.3">
      <c r="A12" s="129" t="str">
        <f>VLOOKUP(WEEKDAY(B12),Data!$A$2:$B$8,2)</f>
        <v>Sunday</v>
      </c>
      <c r="B12" s="130">
        <f t="shared" si="0"/>
        <v>43107</v>
      </c>
      <c r="C12" s="74"/>
      <c r="D12" s="73"/>
      <c r="E12" s="73"/>
      <c r="F12" s="74"/>
      <c r="G12" s="73"/>
      <c r="H12" s="73"/>
      <c r="I12" s="73"/>
      <c r="J12" s="141">
        <f t="shared" si="2"/>
        <v>1246218.8999999999</v>
      </c>
      <c r="K12" s="213"/>
    </row>
    <row r="13" spans="1:19" s="229" customFormat="1" x14ac:dyDescent="0.3">
      <c r="A13" s="129" t="str">
        <f>VLOOKUP(WEEKDAY(B13),Data!$A$2:$B$8,2)</f>
        <v>Monday</v>
      </c>
      <c r="B13" s="130">
        <f t="shared" si="0"/>
        <v>43108</v>
      </c>
      <c r="C13" s="74"/>
      <c r="D13" s="73"/>
      <c r="E13" s="73"/>
      <c r="F13" s="74"/>
      <c r="G13" s="73"/>
      <c r="H13" s="73"/>
      <c r="I13" s="73"/>
      <c r="J13" s="72">
        <f t="shared" si="2"/>
        <v>1246218.8999999999</v>
      </c>
      <c r="K13" s="213"/>
    </row>
    <row r="14" spans="1:19" s="229" customFormat="1" x14ac:dyDescent="0.3">
      <c r="A14" s="134" t="str">
        <f>VLOOKUP(WEEKDAY(B14),Data!$A$2:$B$8,2)</f>
        <v>Tuesday</v>
      </c>
      <c r="B14" s="130">
        <f t="shared" si="0"/>
        <v>43109</v>
      </c>
      <c r="C14" s="74"/>
      <c r="D14" s="73"/>
      <c r="E14" s="73"/>
      <c r="F14" s="74"/>
      <c r="G14" s="73"/>
      <c r="H14" s="73"/>
      <c r="I14" s="73"/>
      <c r="J14" s="72">
        <f t="shared" si="2"/>
        <v>1246218.8999999999</v>
      </c>
      <c r="K14" s="213"/>
    </row>
    <row r="15" spans="1:19" s="229" customFormat="1" x14ac:dyDescent="0.3">
      <c r="A15" s="134" t="str">
        <f>VLOOKUP(WEEKDAY(B15),Data!$A$2:$B$8,2)</f>
        <v>Wednesday</v>
      </c>
      <c r="B15" s="130">
        <f t="shared" si="0"/>
        <v>43110</v>
      </c>
      <c r="C15" s="108">
        <f>Data!$D$15</f>
        <v>73000</v>
      </c>
      <c r="D15" s="73"/>
      <c r="E15" s="73"/>
      <c r="F15" s="74"/>
      <c r="G15" s="73"/>
      <c r="H15" s="73"/>
      <c r="I15" s="73"/>
      <c r="J15" s="72">
        <f t="shared" si="2"/>
        <v>1319218.8999999999</v>
      </c>
      <c r="K15" s="213"/>
    </row>
    <row r="16" spans="1:19" s="229" customFormat="1" x14ac:dyDescent="0.3">
      <c r="A16" s="134" t="str">
        <f>VLOOKUP(WEEKDAY(B16),Data!$A$2:$B$8,2)</f>
        <v>Thursday</v>
      </c>
      <c r="B16" s="130">
        <f t="shared" si="0"/>
        <v>43111</v>
      </c>
      <c r="C16" s="74"/>
      <c r="D16" s="73"/>
      <c r="E16" s="73"/>
      <c r="F16" s="74"/>
      <c r="G16" s="73"/>
      <c r="H16" s="102">
        <f>Data!$I$40</f>
        <v>8000</v>
      </c>
      <c r="I16" s="102">
        <f>Data!$I$47</f>
        <v>53000</v>
      </c>
      <c r="J16" s="72">
        <f t="shared" si="2"/>
        <v>1258218.8999999999</v>
      </c>
      <c r="K16" s="213"/>
    </row>
    <row r="17" spans="1:11" s="229" customFormat="1" x14ac:dyDescent="0.3">
      <c r="A17" s="142" t="str">
        <f>VLOOKUP(WEEKDAY(B17),Data!$A$2:$B$8,2)</f>
        <v>Friday</v>
      </c>
      <c r="B17" s="136">
        <f t="shared" si="0"/>
        <v>43112</v>
      </c>
      <c r="C17" s="150"/>
      <c r="D17" s="79"/>
      <c r="E17" s="138">
        <f>Data!$D$43</f>
        <v>6000</v>
      </c>
      <c r="F17" s="150"/>
      <c r="G17" s="79"/>
      <c r="H17" s="73"/>
      <c r="I17" s="73"/>
      <c r="J17" s="141">
        <f t="shared" si="2"/>
        <v>1264218.8999999999</v>
      </c>
      <c r="K17" s="213"/>
    </row>
    <row r="18" spans="1:11" s="229" customFormat="1" x14ac:dyDescent="0.3">
      <c r="A18" s="230" t="str">
        <f>VLOOKUP(WEEKDAY(B18),Data!$A$2:$B$8,2)</f>
        <v>Saturday</v>
      </c>
      <c r="B18" s="231">
        <f t="shared" si="0"/>
        <v>43113</v>
      </c>
      <c r="C18" s="239"/>
      <c r="D18" s="233"/>
      <c r="E18" s="233"/>
      <c r="F18" s="239"/>
      <c r="G18" s="233"/>
      <c r="H18" s="233"/>
      <c r="I18" s="233"/>
      <c r="J18" s="86">
        <f t="shared" si="2"/>
        <v>1264218.8999999999</v>
      </c>
      <c r="K18" s="213"/>
    </row>
    <row r="19" spans="1:11" s="229" customFormat="1" x14ac:dyDescent="0.3">
      <c r="A19" s="129" t="str">
        <f>VLOOKUP(WEEKDAY(B19),Data!$A$2:$B$8,2)</f>
        <v>Sunday</v>
      </c>
      <c r="B19" s="130">
        <f t="shared" si="0"/>
        <v>43114</v>
      </c>
      <c r="C19" s="74"/>
      <c r="D19" s="73"/>
      <c r="E19" s="73"/>
      <c r="F19" s="74"/>
      <c r="G19" s="73"/>
      <c r="H19" s="73"/>
      <c r="I19" s="73"/>
      <c r="J19" s="141">
        <f t="shared" ref="J19:J32" si="3">J18+SUM(C19:E19)-SUM(F19:I19)</f>
        <v>1264218.8999999999</v>
      </c>
      <c r="K19" s="213"/>
    </row>
    <row r="20" spans="1:11" s="229" customFormat="1" x14ac:dyDescent="0.3">
      <c r="A20" s="129" t="str">
        <f>VLOOKUP(WEEKDAY(B20),Data!$A$2:$B$8,2)</f>
        <v>Monday</v>
      </c>
      <c r="B20" s="130">
        <f t="shared" si="0"/>
        <v>43115</v>
      </c>
      <c r="C20" s="74"/>
      <c r="D20" s="73"/>
      <c r="E20" s="73"/>
      <c r="F20" s="74"/>
      <c r="G20" s="73"/>
      <c r="H20" s="73"/>
      <c r="I20" s="73"/>
      <c r="J20" s="72">
        <f t="shared" si="3"/>
        <v>1264218.8999999999</v>
      </c>
      <c r="K20" s="213"/>
    </row>
    <row r="21" spans="1:11" s="229" customFormat="1" x14ac:dyDescent="0.3">
      <c r="A21" s="134" t="str">
        <f>VLOOKUP(WEEKDAY(B21),Data!$A$2:$B$8,2)</f>
        <v>Tuesday</v>
      </c>
      <c r="B21" s="130">
        <f t="shared" si="0"/>
        <v>43116</v>
      </c>
      <c r="C21" s="74"/>
      <c r="D21" s="73"/>
      <c r="E21" s="73"/>
      <c r="F21" s="74"/>
      <c r="G21" s="73"/>
      <c r="H21" s="73"/>
      <c r="I21" s="73"/>
      <c r="J21" s="72">
        <f t="shared" si="3"/>
        <v>1264218.8999999999</v>
      </c>
      <c r="K21" s="213"/>
    </row>
    <row r="22" spans="1:11" s="229" customFormat="1" x14ac:dyDescent="0.3">
      <c r="A22" s="134" t="str">
        <f>VLOOKUP(WEEKDAY(B22),Data!$A$2:$B$8,2)</f>
        <v>Wednesday</v>
      </c>
      <c r="B22" s="130">
        <f t="shared" si="0"/>
        <v>43117</v>
      </c>
      <c r="C22" s="74"/>
      <c r="D22" s="73"/>
      <c r="E22" s="73"/>
      <c r="F22" s="74"/>
      <c r="G22" s="73"/>
      <c r="H22" s="73"/>
      <c r="I22" s="73"/>
      <c r="J22" s="72">
        <f t="shared" si="3"/>
        <v>1264218.8999999999</v>
      </c>
      <c r="K22" s="213"/>
    </row>
    <row r="23" spans="1:11" s="229" customFormat="1" x14ac:dyDescent="0.3">
      <c r="A23" s="134" t="str">
        <f>VLOOKUP(WEEKDAY(B23),Data!$A$2:$B$8,2)</f>
        <v>Thursday</v>
      </c>
      <c r="B23" s="130">
        <f t="shared" si="0"/>
        <v>43118</v>
      </c>
      <c r="C23" s="74"/>
      <c r="D23" s="73"/>
      <c r="E23" s="73"/>
      <c r="F23" s="74"/>
      <c r="G23" s="73"/>
      <c r="H23" s="102">
        <f>Data!$I$40</f>
        <v>8000</v>
      </c>
      <c r="I23" s="102">
        <f>Data!$I$47</f>
        <v>53000</v>
      </c>
      <c r="J23" s="72">
        <f t="shared" si="3"/>
        <v>1203218.8999999999</v>
      </c>
      <c r="K23" s="213"/>
    </row>
    <row r="24" spans="1:11" s="229" customFormat="1" x14ac:dyDescent="0.3">
      <c r="A24" s="142" t="str">
        <f>VLOOKUP(WEEKDAY(B24),Data!$A$2:$B$8,2)</f>
        <v>Friday</v>
      </c>
      <c r="B24" s="136">
        <f t="shared" si="0"/>
        <v>43119</v>
      </c>
      <c r="C24" s="150"/>
      <c r="D24" s="79"/>
      <c r="E24" s="138">
        <f>Data!$D$43</f>
        <v>6000</v>
      </c>
      <c r="F24" s="108">
        <f>Data!$I$24</f>
        <v>671000</v>
      </c>
      <c r="G24" s="79"/>
      <c r="H24" s="73"/>
      <c r="I24" s="73"/>
      <c r="J24" s="141">
        <f t="shared" si="3"/>
        <v>538218.89999999991</v>
      </c>
      <c r="K24" s="213"/>
    </row>
    <row r="25" spans="1:11" s="229" customFormat="1" x14ac:dyDescent="0.3">
      <c r="A25" s="230" t="str">
        <f>VLOOKUP(WEEKDAY(B25),Data!$A$2:$B$8,2)</f>
        <v>Saturday</v>
      </c>
      <c r="B25" s="231">
        <f t="shared" si="0"/>
        <v>43120</v>
      </c>
      <c r="C25" s="239"/>
      <c r="D25" s="233"/>
      <c r="E25" s="233"/>
      <c r="F25" s="239"/>
      <c r="G25" s="233"/>
      <c r="H25" s="233"/>
      <c r="I25" s="233"/>
      <c r="J25" s="86">
        <f t="shared" si="3"/>
        <v>538218.89999999991</v>
      </c>
      <c r="K25" s="213"/>
    </row>
    <row r="26" spans="1:11" s="229" customFormat="1" x14ac:dyDescent="0.3">
      <c r="A26" s="129" t="str">
        <f>VLOOKUP(WEEKDAY(B26),Data!$A$2:$B$8,2)</f>
        <v>Sunday</v>
      </c>
      <c r="B26" s="130">
        <f t="shared" si="0"/>
        <v>43121</v>
      </c>
      <c r="C26" s="74"/>
      <c r="D26" s="73"/>
      <c r="E26" s="73"/>
      <c r="F26" s="74"/>
      <c r="G26" s="73"/>
      <c r="H26" s="73"/>
      <c r="I26" s="73"/>
      <c r="J26" s="141">
        <f t="shared" si="3"/>
        <v>538218.89999999991</v>
      </c>
      <c r="K26" s="213"/>
    </row>
    <row r="27" spans="1:11" s="229" customFormat="1" x14ac:dyDescent="0.3">
      <c r="A27" s="129" t="str">
        <f>VLOOKUP(WEEKDAY(B27),Data!$A$2:$B$8,2)</f>
        <v>Monday</v>
      </c>
      <c r="B27" s="130">
        <f t="shared" si="0"/>
        <v>43122</v>
      </c>
      <c r="C27" s="108">
        <f>Data!$D$11</f>
        <v>1576000</v>
      </c>
      <c r="D27" s="73"/>
      <c r="E27" s="73"/>
      <c r="F27" s="74"/>
      <c r="G27" s="73"/>
      <c r="H27" s="73"/>
      <c r="I27" s="73"/>
      <c r="J27" s="72">
        <f t="shared" si="3"/>
        <v>2114218.9</v>
      </c>
      <c r="K27" s="213"/>
    </row>
    <row r="28" spans="1:11" s="229" customFormat="1" x14ac:dyDescent="0.3">
      <c r="A28" s="134" t="str">
        <f>VLOOKUP(WEEKDAY(B28),Data!$A$2:$B$8,2)</f>
        <v>Tuesday</v>
      </c>
      <c r="B28" s="130">
        <f t="shared" si="0"/>
        <v>43123</v>
      </c>
      <c r="C28" s="74"/>
      <c r="D28" s="73"/>
      <c r="E28" s="73"/>
      <c r="F28" s="74"/>
      <c r="G28" s="73"/>
      <c r="H28" s="73"/>
      <c r="I28" s="73"/>
      <c r="J28" s="72">
        <f t="shared" si="3"/>
        <v>2114218.9</v>
      </c>
      <c r="K28" s="213"/>
    </row>
    <row r="29" spans="1:11" s="229" customFormat="1" x14ac:dyDescent="0.3">
      <c r="A29" s="134" t="str">
        <f>VLOOKUP(WEEKDAY(B29),Data!$A$2:$B$8,2)</f>
        <v>Wednesday</v>
      </c>
      <c r="B29" s="130">
        <f t="shared" si="0"/>
        <v>43124</v>
      </c>
      <c r="C29" s="74"/>
      <c r="D29" s="73"/>
      <c r="E29" s="73"/>
      <c r="F29" s="74"/>
      <c r="G29" s="73"/>
      <c r="H29" s="73"/>
      <c r="I29" s="73"/>
      <c r="J29" s="72">
        <f t="shared" si="3"/>
        <v>2114218.9</v>
      </c>
      <c r="K29" s="213"/>
    </row>
    <row r="30" spans="1:11" s="229" customFormat="1" x14ac:dyDescent="0.3">
      <c r="A30" s="134" t="str">
        <f>VLOOKUP(WEEKDAY(B30),Data!$A$2:$B$8,2)</f>
        <v>Thursday</v>
      </c>
      <c r="B30" s="130">
        <f t="shared" si="0"/>
        <v>43125</v>
      </c>
      <c r="C30" s="74"/>
      <c r="D30" s="73"/>
      <c r="E30" s="73"/>
      <c r="F30" s="74"/>
      <c r="G30" s="138">
        <f>Data!$I$31</f>
        <v>190000</v>
      </c>
      <c r="H30" s="102">
        <f>Data!$I$40</f>
        <v>8000</v>
      </c>
      <c r="I30" s="102">
        <f>Data!$I$47</f>
        <v>53000</v>
      </c>
      <c r="J30" s="72">
        <f t="shared" si="3"/>
        <v>1863218.9</v>
      </c>
      <c r="K30" s="213"/>
    </row>
    <row r="31" spans="1:11" s="229" customFormat="1" x14ac:dyDescent="0.3">
      <c r="A31" s="142" t="str">
        <f>VLOOKUP(WEEKDAY(B31),Data!$A$2:$B$8,2)</f>
        <v>Friday</v>
      </c>
      <c r="B31" s="136">
        <f t="shared" si="0"/>
        <v>43126</v>
      </c>
      <c r="C31" s="150"/>
      <c r="D31" s="79"/>
      <c r="E31" s="138">
        <f>Data!$D$43</f>
        <v>6000</v>
      </c>
      <c r="F31" s="150"/>
      <c r="H31" s="73"/>
      <c r="I31" s="73"/>
      <c r="J31" s="141">
        <f t="shared" si="3"/>
        <v>1869218.9</v>
      </c>
      <c r="K31" s="213"/>
    </row>
    <row r="32" spans="1:11" s="229" customFormat="1" x14ac:dyDescent="0.3">
      <c r="A32" s="230" t="str">
        <f>VLOOKUP(WEEKDAY(B32),Data!$A$2:$B$8,2)</f>
        <v>Saturday</v>
      </c>
      <c r="B32" s="231">
        <f t="shared" si="0"/>
        <v>43127</v>
      </c>
      <c r="C32" s="239"/>
      <c r="D32" s="233"/>
      <c r="E32" s="233"/>
      <c r="F32" s="239"/>
      <c r="G32" s="233"/>
      <c r="H32" s="233"/>
      <c r="I32" s="233"/>
      <c r="J32" s="86">
        <f t="shared" si="3"/>
        <v>1869218.9</v>
      </c>
      <c r="K32" s="213"/>
    </row>
    <row r="33" spans="1:11" s="229" customFormat="1" x14ac:dyDescent="0.3">
      <c r="A33" s="129" t="str">
        <f>VLOOKUP(WEEKDAY(B33),Data!$A$2:$B$8,2)</f>
        <v>Sunday</v>
      </c>
      <c r="B33" s="130">
        <f t="shared" si="0"/>
        <v>43128</v>
      </c>
      <c r="C33" s="74"/>
      <c r="D33" s="73"/>
      <c r="E33" s="73"/>
      <c r="F33" s="74"/>
      <c r="G33" s="73"/>
      <c r="H33" s="73"/>
      <c r="I33" s="73"/>
      <c r="J33" s="141">
        <f t="shared" ref="J33:J46" si="4">J32+SUM(C33:E33)-SUM(F33:I33)</f>
        <v>1869218.9</v>
      </c>
      <c r="K33" s="213"/>
    </row>
    <row r="34" spans="1:11" s="229" customFormat="1" x14ac:dyDescent="0.3">
      <c r="A34" s="129" t="str">
        <f>VLOOKUP(WEEKDAY(B34),Data!$A$2:$B$8,2)</f>
        <v>Monday</v>
      </c>
      <c r="B34" s="130">
        <f t="shared" si="0"/>
        <v>43129</v>
      </c>
      <c r="C34" s="74"/>
      <c r="D34" s="73"/>
      <c r="E34" s="73"/>
      <c r="F34" s="74"/>
      <c r="G34" s="73"/>
      <c r="H34" s="73"/>
      <c r="I34" s="73"/>
      <c r="J34" s="72">
        <f t="shared" si="4"/>
        <v>1869218.9</v>
      </c>
      <c r="K34" s="213"/>
    </row>
    <row r="35" spans="1:11" s="229" customFormat="1" x14ac:dyDescent="0.3">
      <c r="A35" s="134" t="str">
        <f>VLOOKUP(WEEKDAY(B35),Data!$A$2:$B$8,2)</f>
        <v>Tuesday</v>
      </c>
      <c r="B35" s="130">
        <f t="shared" si="0"/>
        <v>43130</v>
      </c>
      <c r="C35" s="74"/>
      <c r="D35" s="73"/>
      <c r="E35" s="73"/>
      <c r="F35" s="74"/>
      <c r="G35" s="73"/>
      <c r="H35" s="73"/>
      <c r="I35" s="73"/>
      <c r="J35" s="72">
        <f t="shared" si="4"/>
        <v>1869218.9</v>
      </c>
      <c r="K35" s="213"/>
    </row>
    <row r="36" spans="1:11" s="229" customFormat="1" x14ac:dyDescent="0.3">
      <c r="A36" s="134" t="str">
        <f>VLOOKUP(WEEKDAY(B36),Data!$A$2:$B$8,2)</f>
        <v>Wednesday</v>
      </c>
      <c r="B36" s="130">
        <f t="shared" si="0"/>
        <v>43131</v>
      </c>
      <c r="C36" s="74"/>
      <c r="D36" s="102">
        <f>Data!C$26</f>
        <v>1082735</v>
      </c>
      <c r="E36" s="79"/>
      <c r="F36" s="74"/>
      <c r="G36" s="73"/>
      <c r="H36" s="73"/>
      <c r="I36" s="73"/>
      <c r="J36" s="72">
        <f t="shared" si="4"/>
        <v>2951953.9</v>
      </c>
      <c r="K36" s="213"/>
    </row>
    <row r="37" spans="1:11" s="229" customFormat="1" x14ac:dyDescent="0.3">
      <c r="A37" s="134" t="str">
        <f>VLOOKUP(WEEKDAY(B37),Data!$A$2:$B$8,2)</f>
        <v>Thursday</v>
      </c>
      <c r="B37" s="130">
        <f t="shared" si="0"/>
        <v>43132</v>
      </c>
      <c r="C37" s="74"/>
      <c r="D37" s="73"/>
      <c r="E37" s="73"/>
      <c r="F37" s="74"/>
      <c r="G37" s="73"/>
      <c r="H37" s="102">
        <f>Data!$I$40</f>
        <v>8000</v>
      </c>
      <c r="I37" s="102">
        <f>Data!$I$47</f>
        <v>53000</v>
      </c>
      <c r="J37" s="72">
        <f t="shared" si="4"/>
        <v>2890953.9</v>
      </c>
      <c r="K37" s="213"/>
    </row>
    <row r="38" spans="1:11" s="229" customFormat="1" x14ac:dyDescent="0.3">
      <c r="A38" s="142" t="str">
        <f>VLOOKUP(WEEKDAY(B38),Data!$A$2:$B$8,2)</f>
        <v>Friday</v>
      </c>
      <c r="B38" s="136">
        <f t="shared" si="0"/>
        <v>43133</v>
      </c>
      <c r="C38" s="150"/>
      <c r="D38" s="79"/>
      <c r="E38" s="138">
        <f>Data!$D$43</f>
        <v>6000</v>
      </c>
      <c r="F38" s="150"/>
      <c r="G38" s="79"/>
      <c r="H38" s="102"/>
      <c r="I38" s="73"/>
      <c r="J38" s="141">
        <f t="shared" si="4"/>
        <v>2896953.9</v>
      </c>
      <c r="K38" s="213"/>
    </row>
    <row r="39" spans="1:11" s="229" customFormat="1" x14ac:dyDescent="0.3">
      <c r="A39" s="230" t="str">
        <f>VLOOKUP(WEEKDAY(B39),Data!$A$2:$B$8,2)</f>
        <v>Saturday</v>
      </c>
      <c r="B39" s="231">
        <f t="shared" si="0"/>
        <v>43134</v>
      </c>
      <c r="C39" s="239"/>
      <c r="D39" s="233"/>
      <c r="E39" s="233"/>
      <c r="F39" s="239"/>
      <c r="G39" s="233"/>
      <c r="H39" s="233"/>
      <c r="I39" s="233"/>
      <c r="J39" s="86">
        <f t="shared" si="4"/>
        <v>2896953.9</v>
      </c>
      <c r="K39" s="213"/>
    </row>
    <row r="40" spans="1:11" s="229" customFormat="1" x14ac:dyDescent="0.3">
      <c r="A40" s="129" t="str">
        <f>VLOOKUP(WEEKDAY(B40),Data!$A$2:$B$8,2)</f>
        <v>Sunday</v>
      </c>
      <c r="B40" s="130">
        <f t="shared" si="0"/>
        <v>43135</v>
      </c>
      <c r="C40" s="108"/>
      <c r="D40" s="102"/>
      <c r="E40" s="73"/>
      <c r="F40" s="108"/>
      <c r="G40" s="102"/>
      <c r="H40" s="73"/>
      <c r="I40" s="73"/>
      <c r="J40" s="141">
        <f t="shared" si="4"/>
        <v>2896953.9</v>
      </c>
      <c r="K40" s="213"/>
    </row>
    <row r="41" spans="1:11" s="229" customFormat="1" x14ac:dyDescent="0.3">
      <c r="A41" s="129" t="str">
        <f>VLOOKUP(WEEKDAY(B41),Data!$A$2:$B$8,2)</f>
        <v>Monday</v>
      </c>
      <c r="B41" s="130">
        <f t="shared" si="0"/>
        <v>43136</v>
      </c>
      <c r="C41" s="108"/>
      <c r="D41" s="102"/>
      <c r="E41" s="73"/>
      <c r="F41" s="108"/>
      <c r="G41" s="102"/>
      <c r="H41" s="73"/>
      <c r="I41" s="73"/>
      <c r="J41" s="72">
        <f t="shared" si="4"/>
        <v>2896953.9</v>
      </c>
      <c r="K41" s="213"/>
    </row>
    <row r="42" spans="1:11" s="229" customFormat="1" x14ac:dyDescent="0.3">
      <c r="A42" s="134" t="str">
        <f>VLOOKUP(WEEKDAY(B42),Data!$A$2:$B$8,2)</f>
        <v>Tuesday</v>
      </c>
      <c r="B42" s="130">
        <f t="shared" si="0"/>
        <v>43137</v>
      </c>
      <c r="C42" s="108"/>
      <c r="D42" s="102"/>
      <c r="E42" s="102"/>
      <c r="F42" s="108">
        <f>Data!$I$24</f>
        <v>671000</v>
      </c>
      <c r="G42" s="102"/>
      <c r="H42" s="102"/>
      <c r="I42" s="102"/>
      <c r="J42" s="72">
        <f t="shared" si="4"/>
        <v>2225953.9</v>
      </c>
      <c r="K42" s="213"/>
    </row>
    <row r="43" spans="1:11" s="229" customFormat="1" x14ac:dyDescent="0.3">
      <c r="A43" s="134" t="str">
        <f>VLOOKUP(WEEKDAY(B43),Data!$A$2:$B$8,2)</f>
        <v>Wednesday</v>
      </c>
      <c r="B43" s="130">
        <f t="shared" si="0"/>
        <v>43138</v>
      </c>
      <c r="C43" s="108"/>
      <c r="D43" s="102"/>
      <c r="E43" s="102"/>
      <c r="F43" s="108"/>
      <c r="G43" s="102"/>
      <c r="H43" s="102"/>
      <c r="I43" s="102"/>
      <c r="J43" s="72">
        <f t="shared" si="4"/>
        <v>2225953.9</v>
      </c>
      <c r="K43" s="213"/>
    </row>
    <row r="44" spans="1:11" s="229" customFormat="1" x14ac:dyDescent="0.3">
      <c r="A44" s="134" t="str">
        <f>VLOOKUP(WEEKDAY(B44),Data!$A$2:$B$8,2)</f>
        <v>Thursday</v>
      </c>
      <c r="B44" s="130">
        <f t="shared" si="0"/>
        <v>43139</v>
      </c>
      <c r="C44" s="108"/>
      <c r="D44" s="102"/>
      <c r="E44" s="73"/>
      <c r="F44" s="108"/>
      <c r="G44" s="102"/>
      <c r="H44" s="102">
        <f>Data!$I$40</f>
        <v>8000</v>
      </c>
      <c r="I44" s="102">
        <f>Data!$I$47</f>
        <v>53000</v>
      </c>
      <c r="J44" s="72">
        <f t="shared" si="4"/>
        <v>2164953.9</v>
      </c>
      <c r="K44" s="213"/>
    </row>
    <row r="45" spans="1:11" s="229" customFormat="1" x14ac:dyDescent="0.3">
      <c r="A45" s="142" t="str">
        <f>VLOOKUP(WEEKDAY(B45),Data!$A$2:$B$8,2)</f>
        <v>Friday</v>
      </c>
      <c r="B45" s="136">
        <f t="shared" si="0"/>
        <v>43140</v>
      </c>
      <c r="C45" s="137"/>
      <c r="D45" s="138"/>
      <c r="E45" s="138">
        <f>Data!$D$43</f>
        <v>6000</v>
      </c>
      <c r="F45" s="137"/>
      <c r="G45" s="138"/>
      <c r="H45" s="102"/>
      <c r="I45" s="102"/>
      <c r="J45" s="141">
        <f t="shared" si="4"/>
        <v>2170953.9</v>
      </c>
      <c r="K45" s="213"/>
    </row>
    <row r="46" spans="1:11" s="229" customFormat="1" x14ac:dyDescent="0.3">
      <c r="A46" s="230" t="str">
        <f>VLOOKUP(WEEKDAY(B46),Data!$A$2:$B$8,2)</f>
        <v>Saturday</v>
      </c>
      <c r="B46" s="231">
        <f t="shared" si="0"/>
        <v>43141</v>
      </c>
      <c r="C46" s="232"/>
      <c r="D46" s="146"/>
      <c r="E46" s="233"/>
      <c r="F46" s="232"/>
      <c r="G46" s="146"/>
      <c r="H46" s="233"/>
      <c r="I46" s="233"/>
      <c r="J46" s="86">
        <f t="shared" si="4"/>
        <v>2170953.9</v>
      </c>
      <c r="K46" s="213"/>
    </row>
    <row r="47" spans="1:11" s="229" customFormat="1" x14ac:dyDescent="0.3">
      <c r="A47" s="129" t="str">
        <f>VLOOKUP(WEEKDAY(B47),Data!$A$2:$B$8,2)</f>
        <v>Sunday</v>
      </c>
      <c r="B47" s="130">
        <f t="shared" si="0"/>
        <v>43142</v>
      </c>
      <c r="C47" s="108"/>
      <c r="D47" s="102"/>
      <c r="E47" s="73"/>
      <c r="F47" s="108"/>
      <c r="G47" s="102"/>
      <c r="H47" s="73"/>
      <c r="I47" s="73"/>
      <c r="J47" s="141">
        <f t="shared" ref="J47:J67" si="5">J46+SUM(C47:E47)-SUM(F47:I47)</f>
        <v>2170953.9</v>
      </c>
      <c r="K47" s="213"/>
    </row>
    <row r="48" spans="1:11" s="229" customFormat="1" x14ac:dyDescent="0.3">
      <c r="A48" s="129" t="str">
        <f>VLOOKUP(WEEKDAY(B48),Data!$A$2:$B$8,2)</f>
        <v>Monday</v>
      </c>
      <c r="B48" s="130">
        <f t="shared" si="0"/>
        <v>43143</v>
      </c>
      <c r="C48" s="108">
        <f>Data!$D$15</f>
        <v>73000</v>
      </c>
      <c r="D48" s="102"/>
      <c r="E48" s="73"/>
      <c r="F48" s="74"/>
      <c r="G48" s="102"/>
      <c r="H48" s="73"/>
      <c r="I48" s="73"/>
      <c r="J48" s="72">
        <f t="shared" si="5"/>
        <v>2243953.9</v>
      </c>
      <c r="K48" s="213"/>
    </row>
    <row r="49" spans="1:14" s="229" customFormat="1" x14ac:dyDescent="0.3">
      <c r="A49" s="134" t="str">
        <f>VLOOKUP(WEEKDAY(B49),Data!$A$2:$B$8,2)</f>
        <v>Tuesday</v>
      </c>
      <c r="B49" s="130">
        <f t="shared" si="0"/>
        <v>43144</v>
      </c>
      <c r="C49" s="108"/>
      <c r="D49" s="102"/>
      <c r="E49" s="102"/>
      <c r="F49" s="108"/>
      <c r="G49" s="102"/>
      <c r="H49" s="102"/>
      <c r="I49" s="102"/>
      <c r="J49" s="72">
        <f t="shared" si="5"/>
        <v>2243953.9</v>
      </c>
      <c r="K49" s="213"/>
    </row>
    <row r="50" spans="1:14" s="229" customFormat="1" x14ac:dyDescent="0.3">
      <c r="A50" s="134" t="str">
        <f>VLOOKUP(WEEKDAY(B50),Data!$A$2:$B$8,2)</f>
        <v>Wednesday</v>
      </c>
      <c r="B50" s="130">
        <f t="shared" si="0"/>
        <v>43145</v>
      </c>
      <c r="C50" s="108"/>
      <c r="D50" s="102"/>
      <c r="E50" s="102"/>
      <c r="F50" s="108"/>
      <c r="G50" s="102"/>
      <c r="H50" s="102"/>
      <c r="I50" s="102"/>
      <c r="J50" s="262">
        <f t="shared" si="5"/>
        <v>2243953.9</v>
      </c>
      <c r="K50" s="255">
        <f>1548239.29+750000+361.95</f>
        <v>2298601.2400000002</v>
      </c>
      <c r="L50" s="162" t="s">
        <v>291</v>
      </c>
      <c r="M50" s="290"/>
      <c r="N50" s="290"/>
    </row>
    <row r="51" spans="1:14" s="229" customFormat="1" x14ac:dyDescent="0.3">
      <c r="A51" s="134" t="str">
        <f>VLOOKUP(WEEKDAY(B51),Data!$A$2:$B$8,2)</f>
        <v>Thursday</v>
      </c>
      <c r="B51" s="130">
        <f t="shared" si="0"/>
        <v>43146</v>
      </c>
      <c r="C51" s="108"/>
      <c r="D51" s="102"/>
      <c r="E51" s="102"/>
      <c r="F51" s="108"/>
      <c r="G51" s="102"/>
      <c r="H51" s="102">
        <f>Data!$I$40</f>
        <v>8000</v>
      </c>
      <c r="I51" s="102">
        <f>Data!$I$47</f>
        <v>53000</v>
      </c>
      <c r="J51" s="72">
        <f>J50+SUM(C51:E51)-SUM(F51:I51)</f>
        <v>2182953.9</v>
      </c>
      <c r="K51" s="213"/>
      <c r="L51" s="153" t="s">
        <v>82</v>
      </c>
      <c r="M51" s="154" t="s">
        <v>165</v>
      </c>
      <c r="N51" s="155" t="s">
        <v>83</v>
      </c>
    </row>
    <row r="52" spans="1:14" s="229" customFormat="1" x14ac:dyDescent="0.3">
      <c r="A52" s="142" t="str">
        <f>VLOOKUP(WEEKDAY(B52),Data!$A$2:$B$8,2)</f>
        <v>Friday</v>
      </c>
      <c r="B52" s="136">
        <f t="shared" si="0"/>
        <v>43147</v>
      </c>
      <c r="C52" s="137"/>
      <c r="D52" s="138"/>
      <c r="E52" s="138">
        <f>Data!$D$43</f>
        <v>6000</v>
      </c>
      <c r="F52" s="137"/>
      <c r="G52" s="138"/>
      <c r="J52" s="141">
        <f t="shared" si="5"/>
        <v>2188953.9</v>
      </c>
      <c r="K52" s="213"/>
      <c r="L52" s="156">
        <v>1574756</v>
      </c>
      <c r="M52" s="157">
        <v>168178</v>
      </c>
      <c r="N52" s="158">
        <f>L52-M52</f>
        <v>1406578</v>
      </c>
    </row>
    <row r="53" spans="1:14" s="229" customFormat="1" x14ac:dyDescent="0.3">
      <c r="A53" s="230" t="str">
        <f>VLOOKUP(WEEKDAY(B53),Data!$A$2:$B$8,2)</f>
        <v>Saturday</v>
      </c>
      <c r="B53" s="231">
        <f t="shared" si="0"/>
        <v>43148</v>
      </c>
      <c r="C53" s="232"/>
      <c r="D53" s="146"/>
      <c r="E53" s="233"/>
      <c r="F53" s="232"/>
      <c r="G53" s="146"/>
      <c r="H53" s="233"/>
      <c r="I53" s="233"/>
      <c r="J53" s="86">
        <f t="shared" si="5"/>
        <v>2188953.9</v>
      </c>
      <c r="K53" s="213"/>
    </row>
    <row r="54" spans="1:14" s="229" customFormat="1" x14ac:dyDescent="0.3">
      <c r="A54" s="129" t="str">
        <f>VLOOKUP(WEEKDAY(B54),Data!$A$2:$B$8,2)</f>
        <v>Sunday</v>
      </c>
      <c r="B54" s="130">
        <f t="shared" si="0"/>
        <v>43149</v>
      </c>
      <c r="C54" s="108"/>
      <c r="D54" s="102"/>
      <c r="E54" s="73"/>
      <c r="F54" s="108"/>
      <c r="G54" s="102"/>
      <c r="H54" s="73"/>
      <c r="I54" s="73"/>
      <c r="J54" s="141">
        <f t="shared" si="5"/>
        <v>2188953.9</v>
      </c>
      <c r="K54" s="213"/>
    </row>
    <row r="55" spans="1:14" s="229" customFormat="1" x14ac:dyDescent="0.3">
      <c r="A55" s="129" t="str">
        <f>VLOOKUP(WEEKDAY(B55),Data!$A$2:$B$8,2)</f>
        <v>Monday</v>
      </c>
      <c r="B55" s="130">
        <f t="shared" si="0"/>
        <v>43150</v>
      </c>
      <c r="C55" s="108"/>
      <c r="D55" s="102"/>
      <c r="E55" s="73"/>
      <c r="F55" s="108"/>
      <c r="G55" s="102"/>
      <c r="H55" s="73"/>
      <c r="I55" s="73"/>
      <c r="J55" s="72">
        <f t="shared" si="5"/>
        <v>2188953.9</v>
      </c>
      <c r="K55" s="213"/>
    </row>
    <row r="56" spans="1:14" s="229" customFormat="1" x14ac:dyDescent="0.3">
      <c r="A56" s="134" t="str">
        <f>VLOOKUP(WEEKDAY(B56),Data!$A$2:$B$8,2)</f>
        <v>Tuesday</v>
      </c>
      <c r="B56" s="130">
        <f t="shared" si="0"/>
        <v>43151</v>
      </c>
      <c r="C56" s="108">
        <f>Data!$D$11</f>
        <v>1576000</v>
      </c>
      <c r="D56" s="102"/>
      <c r="E56" s="102"/>
      <c r="F56" s="108"/>
      <c r="G56" s="102"/>
      <c r="H56" s="102"/>
      <c r="I56" s="102"/>
      <c r="J56" s="72">
        <f t="shared" si="5"/>
        <v>3764953.9</v>
      </c>
      <c r="K56" s="213"/>
    </row>
    <row r="57" spans="1:14" s="229" customFormat="1" x14ac:dyDescent="0.3">
      <c r="A57" s="134" t="str">
        <f>VLOOKUP(WEEKDAY(B57),Data!$A$2:$B$8,2)</f>
        <v>Wednesday</v>
      </c>
      <c r="B57" s="130">
        <f t="shared" si="0"/>
        <v>43152</v>
      </c>
      <c r="C57" s="108"/>
      <c r="D57" s="102"/>
      <c r="E57" s="102"/>
      <c r="F57" s="108">
        <f>Data!$I$24</f>
        <v>671000</v>
      </c>
      <c r="G57" s="102"/>
      <c r="H57" s="102"/>
      <c r="I57" s="102"/>
      <c r="J57" s="72">
        <f t="shared" si="5"/>
        <v>3093953.9</v>
      </c>
      <c r="K57" s="213"/>
    </row>
    <row r="58" spans="1:14" s="229" customFormat="1" x14ac:dyDescent="0.3">
      <c r="A58" s="134" t="str">
        <f>VLOOKUP(WEEKDAY(B58),Data!$A$2:$B$8,2)</f>
        <v>Thursday</v>
      </c>
      <c r="B58" s="130">
        <f t="shared" si="0"/>
        <v>43153</v>
      </c>
      <c r="C58" s="108"/>
      <c r="D58" s="102"/>
      <c r="E58" s="102"/>
      <c r="F58" s="108"/>
      <c r="G58" s="138">
        <f>Data!$I$31</f>
        <v>190000</v>
      </c>
      <c r="H58" s="102">
        <f>Data!$I$40</f>
        <v>8000</v>
      </c>
      <c r="I58" s="102">
        <f>Data!$I$47</f>
        <v>53000</v>
      </c>
      <c r="J58" s="72">
        <f>J57+SUM(C58:E58)-SUM(F58:I58)</f>
        <v>2842953.9</v>
      </c>
      <c r="K58" s="213"/>
    </row>
    <row r="59" spans="1:14" s="229" customFormat="1" x14ac:dyDescent="0.3">
      <c r="A59" s="142" t="str">
        <f>VLOOKUP(WEEKDAY(B59),Data!$A$2:$B$8,2)</f>
        <v>Friday</v>
      </c>
      <c r="B59" s="136">
        <f t="shared" si="0"/>
        <v>43154</v>
      </c>
      <c r="C59" s="137"/>
      <c r="D59" s="138"/>
      <c r="E59" s="138">
        <f>Data!$D$43</f>
        <v>6000</v>
      </c>
      <c r="F59" s="137"/>
      <c r="J59" s="141">
        <f t="shared" si="5"/>
        <v>2848953.9</v>
      </c>
      <c r="K59" s="213"/>
    </row>
    <row r="60" spans="1:14" s="229" customFormat="1" x14ac:dyDescent="0.3">
      <c r="A60" s="230" t="str">
        <f>VLOOKUP(WEEKDAY(B60),Data!$A$2:$B$8,2)</f>
        <v>Saturday</v>
      </c>
      <c r="B60" s="231">
        <f t="shared" si="0"/>
        <v>43155</v>
      </c>
      <c r="C60" s="232"/>
      <c r="D60" s="146"/>
      <c r="E60" s="233"/>
      <c r="F60" s="232"/>
      <c r="G60" s="146"/>
      <c r="H60" s="233"/>
      <c r="I60" s="233"/>
      <c r="J60" s="86">
        <f t="shared" si="5"/>
        <v>2848953.9</v>
      </c>
      <c r="K60" s="213"/>
    </row>
    <row r="61" spans="1:14" s="229" customFormat="1" x14ac:dyDescent="0.3">
      <c r="A61" s="129" t="str">
        <f>VLOOKUP(WEEKDAY(B61),Data!$A$2:$B$8,2)</f>
        <v>Sunday</v>
      </c>
      <c r="B61" s="130">
        <f t="shared" si="0"/>
        <v>43156</v>
      </c>
      <c r="C61" s="108"/>
      <c r="D61" s="102"/>
      <c r="E61" s="73"/>
      <c r="F61" s="108"/>
      <c r="G61" s="102"/>
      <c r="H61" s="73"/>
      <c r="I61" s="73"/>
      <c r="J61" s="141">
        <f t="shared" si="5"/>
        <v>2848953.9</v>
      </c>
      <c r="K61" s="213"/>
    </row>
    <row r="62" spans="1:14" s="229" customFormat="1" x14ac:dyDescent="0.3">
      <c r="A62" s="129" t="str">
        <f>VLOOKUP(WEEKDAY(B62),Data!$A$2:$B$8,2)</f>
        <v>Monday</v>
      </c>
      <c r="B62" s="130">
        <f t="shared" si="0"/>
        <v>43157</v>
      </c>
      <c r="C62" s="108"/>
      <c r="D62" s="102"/>
      <c r="E62" s="73"/>
      <c r="F62" s="108"/>
      <c r="G62" s="102"/>
      <c r="H62" s="73"/>
      <c r="I62" s="73"/>
      <c r="J62" s="72">
        <f t="shared" si="5"/>
        <v>2848953.9</v>
      </c>
      <c r="K62" s="213"/>
    </row>
    <row r="63" spans="1:14" s="229" customFormat="1" x14ac:dyDescent="0.3">
      <c r="A63" s="134" t="str">
        <f>VLOOKUP(WEEKDAY(B63),Data!$A$2:$B$8,2)</f>
        <v>Tuesday</v>
      </c>
      <c r="B63" s="130">
        <f t="shared" si="0"/>
        <v>43158</v>
      </c>
      <c r="C63" s="108"/>
      <c r="D63" s="102"/>
      <c r="E63" s="102"/>
      <c r="F63" s="108"/>
      <c r="G63" s="102"/>
      <c r="H63" s="102"/>
      <c r="I63" s="102"/>
      <c r="J63" s="72">
        <f t="shared" si="5"/>
        <v>2848953.9</v>
      </c>
      <c r="K63" s="213"/>
    </row>
    <row r="64" spans="1:14" s="229" customFormat="1" x14ac:dyDescent="0.3">
      <c r="A64" s="134" t="str">
        <f>VLOOKUP(WEEKDAY(B64),Data!$A$2:$B$8,2)</f>
        <v>Wednesday</v>
      </c>
      <c r="B64" s="130">
        <f t="shared" si="0"/>
        <v>43159</v>
      </c>
      <c r="C64" s="108"/>
      <c r="D64" s="102">
        <f>Data!C$27</f>
        <v>1237411</v>
      </c>
      <c r="E64" s="102"/>
      <c r="F64" s="108"/>
      <c r="G64" s="102"/>
      <c r="H64" s="102"/>
      <c r="I64" s="102"/>
      <c r="J64" s="72">
        <f t="shared" si="5"/>
        <v>4086364.9</v>
      </c>
      <c r="K64" s="213"/>
    </row>
    <row r="65" spans="1:11" s="229" customFormat="1" x14ac:dyDescent="0.3">
      <c r="A65" s="134" t="str">
        <f>VLOOKUP(WEEKDAY(B65),Data!$A$2:$B$8,2)</f>
        <v>Thursday</v>
      </c>
      <c r="B65" s="130">
        <f t="shared" si="0"/>
        <v>43160</v>
      </c>
      <c r="C65" s="108"/>
      <c r="D65" s="102"/>
      <c r="E65" s="102"/>
      <c r="F65" s="108"/>
      <c r="G65" s="102"/>
      <c r="H65" s="102">
        <f>Data!$I$40</f>
        <v>8000</v>
      </c>
      <c r="I65" s="102">
        <f>Data!$I$47</f>
        <v>53000</v>
      </c>
      <c r="J65" s="72">
        <f>J64+SUM(C65:E65)-SUM(F65:I65)</f>
        <v>4025364.9</v>
      </c>
      <c r="K65" s="213"/>
    </row>
    <row r="66" spans="1:11" s="229" customFormat="1" x14ac:dyDescent="0.3">
      <c r="A66" s="142" t="str">
        <f>VLOOKUP(WEEKDAY(B66),Data!$A$2:$B$8,2)</f>
        <v>Friday</v>
      </c>
      <c r="B66" s="136">
        <f t="shared" si="0"/>
        <v>43161</v>
      </c>
      <c r="C66" s="137"/>
      <c r="D66" s="138"/>
      <c r="E66" s="138">
        <f>Data!$D$43</f>
        <v>6000</v>
      </c>
      <c r="F66" s="137"/>
      <c r="G66" s="138"/>
      <c r="J66" s="141">
        <f t="shared" si="5"/>
        <v>4031364.9</v>
      </c>
      <c r="K66" s="213"/>
    </row>
    <row r="67" spans="1:11" s="229" customFormat="1" x14ac:dyDescent="0.3">
      <c r="A67" s="230" t="str">
        <f>VLOOKUP(WEEKDAY(B67),Data!$A$2:$B$8,2)</f>
        <v>Saturday</v>
      </c>
      <c r="B67" s="231">
        <f t="shared" si="0"/>
        <v>43162</v>
      </c>
      <c r="C67" s="232"/>
      <c r="D67" s="146"/>
      <c r="E67" s="233"/>
      <c r="F67" s="232"/>
      <c r="G67" s="146"/>
      <c r="H67" s="233"/>
      <c r="I67" s="233"/>
      <c r="J67" s="86">
        <f t="shared" si="5"/>
        <v>4031364.9</v>
      </c>
      <c r="K67" s="213"/>
    </row>
    <row r="68" spans="1:11" s="229" customFormat="1" x14ac:dyDescent="0.3">
      <c r="A68" s="129" t="str">
        <f>VLOOKUP(WEEKDAY(B68),Data!$A$2:$B$8,2)</f>
        <v>Sunday</v>
      </c>
      <c r="B68" s="130">
        <f t="shared" si="0"/>
        <v>43163</v>
      </c>
      <c r="C68" s="108"/>
      <c r="D68" s="102"/>
      <c r="E68" s="73"/>
      <c r="F68" s="108"/>
      <c r="G68" s="102"/>
      <c r="H68" s="73"/>
      <c r="I68" s="73"/>
      <c r="J68" s="141">
        <f t="shared" ref="J68:J88" si="6">J67+SUM(C68:E68)-SUM(F68:I68)</f>
        <v>4031364.9</v>
      </c>
      <c r="K68" s="213"/>
    </row>
    <row r="69" spans="1:11" s="229" customFormat="1" x14ac:dyDescent="0.3">
      <c r="A69" s="129" t="str">
        <f>VLOOKUP(WEEKDAY(B69),Data!$A$2:$B$8,2)</f>
        <v>Monday</v>
      </c>
      <c r="B69" s="130">
        <f t="shared" si="0"/>
        <v>43164</v>
      </c>
      <c r="C69" s="108"/>
      <c r="D69" s="102"/>
      <c r="E69" s="73"/>
      <c r="F69" s="108"/>
      <c r="G69" s="102"/>
      <c r="H69" s="73"/>
      <c r="I69" s="73"/>
      <c r="J69" s="72">
        <f t="shared" si="6"/>
        <v>4031364.9</v>
      </c>
      <c r="K69" s="213"/>
    </row>
    <row r="70" spans="1:11" s="229" customFormat="1" x14ac:dyDescent="0.3">
      <c r="A70" s="134" t="str">
        <f>VLOOKUP(WEEKDAY(B70),Data!$A$2:$B$8,2)</f>
        <v>Tuesday</v>
      </c>
      <c r="B70" s="130">
        <f t="shared" si="0"/>
        <v>43165</v>
      </c>
      <c r="C70" s="108"/>
      <c r="D70" s="102"/>
      <c r="E70" s="102"/>
      <c r="F70" s="108">
        <f>Data!$I$24</f>
        <v>671000</v>
      </c>
      <c r="G70" s="102"/>
      <c r="H70" s="102"/>
      <c r="I70" s="102"/>
      <c r="J70" s="72">
        <f t="shared" si="6"/>
        <v>3360364.9</v>
      </c>
      <c r="K70" s="213"/>
    </row>
    <row r="71" spans="1:11" s="229" customFormat="1" x14ac:dyDescent="0.3">
      <c r="A71" s="134" t="str">
        <f>VLOOKUP(WEEKDAY(B71),Data!$A$2:$B$8,2)</f>
        <v>Wednesday</v>
      </c>
      <c r="B71" s="130">
        <f t="shared" ref="B71:B134" si="7">B70+1</f>
        <v>43166</v>
      </c>
      <c r="C71" s="108"/>
      <c r="D71" s="102"/>
      <c r="E71" s="102"/>
      <c r="F71" s="108"/>
      <c r="G71" s="102"/>
      <c r="H71" s="102"/>
      <c r="I71" s="102"/>
      <c r="J71" s="72">
        <f t="shared" si="6"/>
        <v>3360364.9</v>
      </c>
      <c r="K71" s="213"/>
    </row>
    <row r="72" spans="1:11" s="229" customFormat="1" x14ac:dyDescent="0.3">
      <c r="A72" s="134" t="str">
        <f>VLOOKUP(WEEKDAY(B72),Data!$A$2:$B$8,2)</f>
        <v>Thursday</v>
      </c>
      <c r="B72" s="130">
        <f t="shared" si="7"/>
        <v>43167</v>
      </c>
      <c r="C72" s="108"/>
      <c r="D72" s="102"/>
      <c r="E72" s="102"/>
      <c r="F72" s="108"/>
      <c r="G72" s="102"/>
      <c r="H72" s="102">
        <f>Data!$I$40</f>
        <v>8000</v>
      </c>
      <c r="I72" s="102">
        <f>Data!$I$47</f>
        <v>53000</v>
      </c>
      <c r="J72" s="72">
        <f>J71+SUM(C72:E72)-SUM(F72:I72)</f>
        <v>3299364.9</v>
      </c>
      <c r="K72" s="213"/>
    </row>
    <row r="73" spans="1:11" s="229" customFormat="1" x14ac:dyDescent="0.3">
      <c r="A73" s="142" t="str">
        <f>VLOOKUP(WEEKDAY(B73),Data!$A$2:$B$8,2)</f>
        <v>Friday</v>
      </c>
      <c r="B73" s="136">
        <f t="shared" si="7"/>
        <v>43168</v>
      </c>
      <c r="C73" s="137"/>
      <c r="D73" s="138"/>
      <c r="E73" s="138">
        <f>Data!$D$43</f>
        <v>6000</v>
      </c>
      <c r="F73" s="137"/>
      <c r="G73" s="138"/>
      <c r="J73" s="141">
        <f t="shared" si="6"/>
        <v>3305364.9</v>
      </c>
      <c r="K73" s="213"/>
    </row>
    <row r="74" spans="1:11" s="229" customFormat="1" x14ac:dyDescent="0.3">
      <c r="A74" s="230" t="str">
        <f>VLOOKUP(WEEKDAY(B74),Data!$A$2:$B$8,2)</f>
        <v>Saturday</v>
      </c>
      <c r="B74" s="231">
        <f t="shared" si="7"/>
        <v>43169</v>
      </c>
      <c r="C74" s="232"/>
      <c r="D74" s="146"/>
      <c r="E74" s="233"/>
      <c r="F74" s="232"/>
      <c r="G74" s="146"/>
      <c r="H74" s="233"/>
      <c r="I74" s="233"/>
      <c r="J74" s="86">
        <f t="shared" si="6"/>
        <v>3305364.9</v>
      </c>
      <c r="K74" s="213"/>
    </row>
    <row r="75" spans="1:11" s="229" customFormat="1" x14ac:dyDescent="0.3">
      <c r="A75" s="129" t="str">
        <f>VLOOKUP(WEEKDAY(B75),Data!$A$2:$B$8,2)</f>
        <v>Sunday</v>
      </c>
      <c r="B75" s="130">
        <f t="shared" si="7"/>
        <v>43170</v>
      </c>
      <c r="C75" s="108"/>
      <c r="D75" s="102"/>
      <c r="E75" s="73"/>
      <c r="F75" s="108"/>
      <c r="G75" s="102"/>
      <c r="H75" s="73"/>
      <c r="I75" s="73"/>
      <c r="J75" s="141">
        <f t="shared" si="6"/>
        <v>3305364.9</v>
      </c>
      <c r="K75" s="213"/>
    </row>
    <row r="76" spans="1:11" s="229" customFormat="1" x14ac:dyDescent="0.3">
      <c r="A76" s="129" t="str">
        <f>VLOOKUP(WEEKDAY(B76),Data!$A$2:$B$8,2)</f>
        <v>Monday</v>
      </c>
      <c r="B76" s="130">
        <f t="shared" si="7"/>
        <v>43171</v>
      </c>
      <c r="C76" s="108">
        <f>Data!$D$15</f>
        <v>73000</v>
      </c>
      <c r="D76" s="102"/>
      <c r="E76" s="73"/>
      <c r="F76" s="108"/>
      <c r="G76" s="102"/>
      <c r="H76" s="73"/>
      <c r="I76" s="73"/>
      <c r="J76" s="72">
        <f t="shared" si="6"/>
        <v>3378364.9</v>
      </c>
      <c r="K76" s="213"/>
    </row>
    <row r="77" spans="1:11" s="229" customFormat="1" x14ac:dyDescent="0.3">
      <c r="A77" s="134" t="str">
        <f>VLOOKUP(WEEKDAY(B77),Data!$A$2:$B$8,2)</f>
        <v>Tuesday</v>
      </c>
      <c r="B77" s="130">
        <f t="shared" si="7"/>
        <v>43172</v>
      </c>
      <c r="C77" s="108"/>
      <c r="D77" s="102"/>
      <c r="E77" s="102"/>
      <c r="F77" s="108"/>
      <c r="G77" s="102"/>
      <c r="H77" s="102"/>
      <c r="I77" s="102"/>
      <c r="J77" s="72">
        <f t="shared" si="6"/>
        <v>3378364.9</v>
      </c>
      <c r="K77" s="213"/>
    </row>
    <row r="78" spans="1:11" s="229" customFormat="1" x14ac:dyDescent="0.3">
      <c r="A78" s="134" t="str">
        <f>VLOOKUP(WEEKDAY(B78),Data!$A$2:$B$8,2)</f>
        <v>Wednesday</v>
      </c>
      <c r="B78" s="130">
        <f t="shared" si="7"/>
        <v>43173</v>
      </c>
      <c r="C78" s="108"/>
      <c r="D78" s="102"/>
      <c r="E78" s="102"/>
      <c r="F78" s="108"/>
      <c r="G78" s="102"/>
      <c r="H78" s="102"/>
      <c r="I78" s="102"/>
      <c r="J78" s="72">
        <f t="shared" si="6"/>
        <v>3378364.9</v>
      </c>
      <c r="K78" s="213"/>
    </row>
    <row r="79" spans="1:11" s="229" customFormat="1" x14ac:dyDescent="0.3">
      <c r="A79" s="134" t="str">
        <f>VLOOKUP(WEEKDAY(B79),Data!$A$2:$B$8,2)</f>
        <v>Thursday</v>
      </c>
      <c r="B79" s="130">
        <f t="shared" si="7"/>
        <v>43174</v>
      </c>
      <c r="C79" s="108"/>
      <c r="D79" s="102"/>
      <c r="E79" s="102"/>
      <c r="F79" s="108"/>
      <c r="G79" s="102"/>
      <c r="H79" s="102">
        <f>Data!$I$40</f>
        <v>8000</v>
      </c>
      <c r="I79" s="102">
        <f>Data!$I$47</f>
        <v>53000</v>
      </c>
      <c r="J79" s="72">
        <f>J78+SUM(C79:E79)-SUM(F79:I79)</f>
        <v>3317364.9</v>
      </c>
      <c r="K79" s="213"/>
    </row>
    <row r="80" spans="1:11" s="229" customFormat="1" x14ac:dyDescent="0.3">
      <c r="A80" s="142" t="str">
        <f>VLOOKUP(WEEKDAY(B80),Data!$A$2:$B$8,2)</f>
        <v>Friday</v>
      </c>
      <c r="B80" s="136">
        <f t="shared" si="7"/>
        <v>43175</v>
      </c>
      <c r="C80" s="137"/>
      <c r="D80" s="138"/>
      <c r="E80" s="138">
        <f>Data!$D$43</f>
        <v>6000</v>
      </c>
      <c r="F80" s="137"/>
      <c r="G80" s="138"/>
      <c r="J80" s="141">
        <f t="shared" si="6"/>
        <v>3323364.9</v>
      </c>
      <c r="K80" s="213"/>
    </row>
    <row r="81" spans="1:11" s="229" customFormat="1" x14ac:dyDescent="0.3">
      <c r="A81" s="230" t="str">
        <f>VLOOKUP(WEEKDAY(B81),Data!$A$2:$B$8,2)</f>
        <v>Saturday</v>
      </c>
      <c r="B81" s="231">
        <f t="shared" si="7"/>
        <v>43176</v>
      </c>
      <c r="C81" s="232"/>
      <c r="D81" s="146"/>
      <c r="E81" s="233"/>
      <c r="F81" s="232"/>
      <c r="G81" s="146"/>
      <c r="H81" s="233"/>
      <c r="I81" s="233"/>
      <c r="J81" s="86">
        <f t="shared" si="6"/>
        <v>3323364.9</v>
      </c>
      <c r="K81" s="213"/>
    </row>
    <row r="82" spans="1:11" s="229" customFormat="1" x14ac:dyDescent="0.3">
      <c r="A82" s="129" t="str">
        <f>VLOOKUP(WEEKDAY(B82),Data!$A$2:$B$8,2)</f>
        <v>Sunday</v>
      </c>
      <c r="B82" s="130">
        <f t="shared" si="7"/>
        <v>43177</v>
      </c>
      <c r="C82" s="108"/>
      <c r="D82" s="102"/>
      <c r="E82" s="73"/>
      <c r="F82" s="108"/>
      <c r="G82" s="102"/>
      <c r="H82" s="73"/>
      <c r="I82" s="73"/>
      <c r="J82" s="141">
        <f t="shared" si="6"/>
        <v>3323364.9</v>
      </c>
      <c r="K82" s="213"/>
    </row>
    <row r="83" spans="1:11" s="229" customFormat="1" x14ac:dyDescent="0.3">
      <c r="A83" s="129" t="str">
        <f>VLOOKUP(WEEKDAY(B83),Data!$A$2:$B$8,2)</f>
        <v>Monday</v>
      </c>
      <c r="B83" s="130">
        <f t="shared" si="7"/>
        <v>43178</v>
      </c>
      <c r="C83" s="108"/>
      <c r="D83" s="102"/>
      <c r="E83" s="73"/>
      <c r="F83" s="108"/>
      <c r="G83" s="102"/>
      <c r="H83" s="73"/>
      <c r="I83" s="73"/>
      <c r="J83" s="72">
        <f t="shared" si="6"/>
        <v>3323364.9</v>
      </c>
      <c r="K83" s="213"/>
    </row>
    <row r="84" spans="1:11" s="229" customFormat="1" x14ac:dyDescent="0.3">
      <c r="A84" s="134" t="str">
        <f>VLOOKUP(WEEKDAY(B84),Data!$A$2:$B$8,2)</f>
        <v>Tuesday</v>
      </c>
      <c r="B84" s="130">
        <f t="shared" si="7"/>
        <v>43179</v>
      </c>
      <c r="C84" s="108">
        <f>Data!$D$11</f>
        <v>1576000</v>
      </c>
      <c r="D84" s="102"/>
      <c r="E84" s="102"/>
      <c r="F84" s="108"/>
      <c r="G84" s="102"/>
      <c r="H84" s="102"/>
      <c r="I84" s="102"/>
      <c r="J84" s="72">
        <f t="shared" si="6"/>
        <v>4899364.9000000004</v>
      </c>
      <c r="K84" s="213"/>
    </row>
    <row r="85" spans="1:11" s="229" customFormat="1" x14ac:dyDescent="0.3">
      <c r="A85" s="134" t="str">
        <f>VLOOKUP(WEEKDAY(B85),Data!$A$2:$B$8,2)</f>
        <v>Wednesday</v>
      </c>
      <c r="B85" s="130">
        <f t="shared" si="7"/>
        <v>43180</v>
      </c>
      <c r="C85" s="108"/>
      <c r="D85" s="102"/>
      <c r="E85" s="102"/>
      <c r="F85" s="108">
        <f>Data!$I$24</f>
        <v>671000</v>
      </c>
      <c r="G85" s="102"/>
      <c r="H85" s="102"/>
      <c r="I85" s="102"/>
      <c r="J85" s="72">
        <f t="shared" si="6"/>
        <v>4228364.9000000004</v>
      </c>
      <c r="K85" s="213"/>
    </row>
    <row r="86" spans="1:11" s="229" customFormat="1" x14ac:dyDescent="0.3">
      <c r="A86" s="134" t="str">
        <f>VLOOKUP(WEEKDAY(B86),Data!$A$2:$B$8,2)</f>
        <v>Thursday</v>
      </c>
      <c r="B86" s="130">
        <f t="shared" si="7"/>
        <v>43181</v>
      </c>
      <c r="C86" s="108"/>
      <c r="D86" s="102">
        <f>Data!$C$28</f>
        <v>618706</v>
      </c>
      <c r="E86" s="102"/>
      <c r="F86" s="108"/>
      <c r="G86" s="102"/>
      <c r="H86" s="102">
        <f>Data!$I$40</f>
        <v>8000</v>
      </c>
      <c r="I86" s="102">
        <f>Data!$I$47</f>
        <v>53000</v>
      </c>
      <c r="J86" s="72">
        <f>J85+SUM(C86:E86)-SUM(F86:I86)</f>
        <v>4786070.9000000004</v>
      </c>
      <c r="K86" s="213"/>
    </row>
    <row r="87" spans="1:11" s="229" customFormat="1" x14ac:dyDescent="0.3">
      <c r="A87" s="142" t="str">
        <f>VLOOKUP(WEEKDAY(B87),Data!$A$2:$B$8,2)</f>
        <v>Friday</v>
      </c>
      <c r="B87" s="136">
        <f t="shared" si="7"/>
        <v>43182</v>
      </c>
      <c r="C87" s="137"/>
      <c r="D87" s="138"/>
      <c r="E87" s="138">
        <f>Data!$D$43</f>
        <v>6000</v>
      </c>
      <c r="F87" s="137"/>
      <c r="G87" s="138"/>
      <c r="J87" s="141">
        <f t="shared" si="6"/>
        <v>4792070.9000000004</v>
      </c>
      <c r="K87" s="213"/>
    </row>
    <row r="88" spans="1:11" s="229" customFormat="1" x14ac:dyDescent="0.3">
      <c r="A88" s="230" t="str">
        <f>VLOOKUP(WEEKDAY(B88),Data!$A$2:$B$8,2)</f>
        <v>Saturday</v>
      </c>
      <c r="B88" s="231">
        <f t="shared" si="7"/>
        <v>43183</v>
      </c>
      <c r="C88" s="232"/>
      <c r="D88" s="146"/>
      <c r="E88" s="233"/>
      <c r="F88" s="232"/>
      <c r="G88" s="146"/>
      <c r="H88" s="233"/>
      <c r="I88" s="233"/>
      <c r="J88" s="86">
        <f t="shared" si="6"/>
        <v>4792070.9000000004</v>
      </c>
      <c r="K88" s="213"/>
    </row>
    <row r="89" spans="1:11" s="229" customFormat="1" x14ac:dyDescent="0.3">
      <c r="A89" s="129" t="str">
        <f>VLOOKUP(WEEKDAY(B89),Data!$A$2:$B$8,2)</f>
        <v>Sunday</v>
      </c>
      <c r="B89" s="130">
        <f t="shared" si="7"/>
        <v>43184</v>
      </c>
      <c r="C89" s="108"/>
      <c r="D89" s="102"/>
      <c r="E89" s="73"/>
      <c r="F89" s="108"/>
      <c r="G89" s="102"/>
      <c r="H89" s="73"/>
      <c r="I89" s="73"/>
      <c r="J89" s="141">
        <f t="shared" ref="J89:J152" si="8">J88+SUM(C89:E89)-SUM(F89:I89)</f>
        <v>4792070.9000000004</v>
      </c>
      <c r="K89" s="213"/>
    </row>
    <row r="90" spans="1:11" s="229" customFormat="1" x14ac:dyDescent="0.3">
      <c r="A90" s="129" t="str">
        <f>VLOOKUP(WEEKDAY(B90),Data!$A$2:$B$8,2)</f>
        <v>Monday</v>
      </c>
      <c r="B90" s="130">
        <f t="shared" si="7"/>
        <v>43185</v>
      </c>
      <c r="C90" s="108"/>
      <c r="D90" s="102"/>
      <c r="E90" s="73"/>
      <c r="F90" s="108"/>
      <c r="G90" s="102"/>
      <c r="H90" s="73"/>
      <c r="I90" s="73"/>
      <c r="J90" s="72">
        <f t="shared" si="8"/>
        <v>4792070.9000000004</v>
      </c>
      <c r="K90" s="213"/>
    </row>
    <row r="91" spans="1:11" s="229" customFormat="1" x14ac:dyDescent="0.3">
      <c r="A91" s="134" t="str">
        <f>VLOOKUP(WEEKDAY(B91),Data!$A$2:$B$8,2)</f>
        <v>Tuesday</v>
      </c>
      <c r="B91" s="130">
        <f t="shared" si="7"/>
        <v>43186</v>
      </c>
      <c r="C91" s="108"/>
      <c r="D91" s="102"/>
      <c r="E91" s="102"/>
      <c r="F91" s="108"/>
      <c r="G91" s="102"/>
      <c r="H91" s="102"/>
      <c r="I91" s="102"/>
      <c r="J91" s="72">
        <f t="shared" si="8"/>
        <v>4792070.9000000004</v>
      </c>
      <c r="K91" s="213"/>
    </row>
    <row r="92" spans="1:11" s="229" customFormat="1" x14ac:dyDescent="0.3">
      <c r="A92" s="134" t="str">
        <f>VLOOKUP(WEEKDAY(B92),Data!$A$2:$B$8,2)</f>
        <v>Wednesday</v>
      </c>
      <c r="B92" s="130">
        <f t="shared" si="7"/>
        <v>43187</v>
      </c>
      <c r="C92" s="108"/>
      <c r="D92" s="102"/>
      <c r="E92" s="102"/>
      <c r="F92" s="108"/>
      <c r="G92" s="102"/>
      <c r="H92" s="102"/>
      <c r="I92" s="102"/>
      <c r="J92" s="72">
        <f t="shared" si="8"/>
        <v>4792070.9000000004</v>
      </c>
      <c r="K92" s="213"/>
    </row>
    <row r="93" spans="1:11" s="229" customFormat="1" x14ac:dyDescent="0.3">
      <c r="A93" s="134" t="str">
        <f>VLOOKUP(WEEKDAY(B93),Data!$A$2:$B$8,2)</f>
        <v>Thursday</v>
      </c>
      <c r="B93" s="130">
        <f t="shared" si="7"/>
        <v>43188</v>
      </c>
      <c r="C93" s="108"/>
      <c r="D93" s="102"/>
      <c r="E93" s="102"/>
      <c r="F93" s="108"/>
      <c r="G93" s="138">
        <f>Data!$I$31</f>
        <v>190000</v>
      </c>
      <c r="H93" s="102">
        <f>Data!$I$40</f>
        <v>8000</v>
      </c>
      <c r="I93" s="102">
        <f>Data!$I$47</f>
        <v>53000</v>
      </c>
      <c r="J93" s="72">
        <f>J92+SUM(C93:E93)-SUM(F93:I93)</f>
        <v>4541070.9000000004</v>
      </c>
      <c r="K93" s="213"/>
    </row>
    <row r="94" spans="1:11" s="229" customFormat="1" x14ac:dyDescent="0.3">
      <c r="A94" s="142" t="str">
        <f>VLOOKUP(WEEKDAY(B94),Data!$A$2:$B$8,2)</f>
        <v>Friday</v>
      </c>
      <c r="B94" s="136">
        <f t="shared" si="7"/>
        <v>43189</v>
      </c>
      <c r="C94" s="137"/>
      <c r="D94" s="138"/>
      <c r="E94" s="138">
        <f>Data!$D$43</f>
        <v>6000</v>
      </c>
      <c r="F94" s="137"/>
      <c r="J94" s="141">
        <f t="shared" si="8"/>
        <v>4547070.9000000004</v>
      </c>
      <c r="K94" s="213"/>
    </row>
    <row r="95" spans="1:11" s="229" customFormat="1" x14ac:dyDescent="0.3">
      <c r="A95" s="230" t="str">
        <f>VLOOKUP(WEEKDAY(B95),Data!$A$2:$B$8,2)</f>
        <v>Saturday</v>
      </c>
      <c r="B95" s="231">
        <f t="shared" si="7"/>
        <v>43190</v>
      </c>
      <c r="C95" s="232"/>
      <c r="D95" s="146"/>
      <c r="E95" s="233"/>
      <c r="F95" s="232"/>
      <c r="G95" s="146"/>
      <c r="H95" s="233"/>
      <c r="I95" s="233"/>
      <c r="J95" s="86">
        <f t="shared" si="8"/>
        <v>4547070.9000000004</v>
      </c>
      <c r="K95" s="213"/>
    </row>
    <row r="96" spans="1:11" s="229" customFormat="1" x14ac:dyDescent="0.3">
      <c r="A96" s="129" t="str">
        <f>VLOOKUP(WEEKDAY(B96),Data!$A$2:$B$8,2)</f>
        <v>Sunday</v>
      </c>
      <c r="B96" s="130">
        <f t="shared" si="7"/>
        <v>43191</v>
      </c>
      <c r="C96" s="108"/>
      <c r="D96" s="102"/>
      <c r="E96" s="73"/>
      <c r="F96" s="108"/>
      <c r="G96" s="102"/>
      <c r="H96" s="73"/>
      <c r="I96" s="73"/>
      <c r="J96" s="141">
        <f t="shared" si="8"/>
        <v>4547070.9000000004</v>
      </c>
      <c r="K96" s="213"/>
    </row>
    <row r="97" spans="1:11" s="229" customFormat="1" x14ac:dyDescent="0.3">
      <c r="A97" s="129" t="str">
        <f>VLOOKUP(WEEKDAY(B97),Data!$A$2:$B$8,2)</f>
        <v>Monday</v>
      </c>
      <c r="B97" s="130">
        <f t="shared" si="7"/>
        <v>43192</v>
      </c>
      <c r="C97" s="108"/>
      <c r="D97" s="102"/>
      <c r="E97" s="73"/>
      <c r="F97" s="108"/>
      <c r="G97" s="102"/>
      <c r="H97" s="73"/>
      <c r="I97" s="73"/>
      <c r="J97" s="72">
        <f t="shared" si="8"/>
        <v>4547070.9000000004</v>
      </c>
      <c r="K97" s="213"/>
    </row>
    <row r="98" spans="1:11" s="229" customFormat="1" x14ac:dyDescent="0.3">
      <c r="A98" s="134" t="str">
        <f>VLOOKUP(WEEKDAY(B98),Data!$A$2:$B$8,2)</f>
        <v>Tuesday</v>
      </c>
      <c r="B98" s="130">
        <f t="shared" si="7"/>
        <v>43193</v>
      </c>
      <c r="C98" s="108"/>
      <c r="D98" s="102"/>
      <c r="E98" s="102"/>
      <c r="F98" s="108"/>
      <c r="G98" s="102"/>
      <c r="H98" s="102"/>
      <c r="I98" s="102"/>
      <c r="J98" s="72">
        <f t="shared" si="8"/>
        <v>4547070.9000000004</v>
      </c>
      <c r="K98" s="213"/>
    </row>
    <row r="99" spans="1:11" s="229" customFormat="1" x14ac:dyDescent="0.3">
      <c r="A99" s="134" t="str">
        <f>VLOOKUP(WEEKDAY(B99),Data!$A$2:$B$8,2)</f>
        <v>Wednesday</v>
      </c>
      <c r="B99" s="130">
        <f t="shared" si="7"/>
        <v>43194</v>
      </c>
      <c r="C99" s="108"/>
      <c r="D99" s="102"/>
      <c r="E99" s="102"/>
      <c r="F99" s="108"/>
      <c r="G99" s="102"/>
      <c r="H99" s="102"/>
      <c r="I99" s="102"/>
      <c r="J99" s="72">
        <f t="shared" si="8"/>
        <v>4547070.9000000004</v>
      </c>
      <c r="K99" s="213"/>
    </row>
    <row r="100" spans="1:11" s="229" customFormat="1" x14ac:dyDescent="0.3">
      <c r="A100" s="134" t="str">
        <f>VLOOKUP(WEEKDAY(B100),Data!$A$2:$B$8,2)</f>
        <v>Thursday</v>
      </c>
      <c r="B100" s="130">
        <f t="shared" si="7"/>
        <v>43195</v>
      </c>
      <c r="C100" s="108"/>
      <c r="D100" s="102"/>
      <c r="E100" s="102"/>
      <c r="F100" s="108"/>
      <c r="G100" s="102"/>
      <c r="H100" s="102">
        <f>Data!$I$40</f>
        <v>8000</v>
      </c>
      <c r="I100" s="102">
        <f>Data!$I$47</f>
        <v>53000</v>
      </c>
      <c r="J100" s="72">
        <f>J99+SUM(C100:E100)-SUM(F100:I100)</f>
        <v>4486070.9000000004</v>
      </c>
      <c r="K100" s="213"/>
    </row>
    <row r="101" spans="1:11" s="229" customFormat="1" x14ac:dyDescent="0.3">
      <c r="A101" s="142" t="str">
        <f>VLOOKUP(WEEKDAY(B101),Data!$A$2:$B$8,2)</f>
        <v>Friday</v>
      </c>
      <c r="B101" s="136">
        <f t="shared" si="7"/>
        <v>43196</v>
      </c>
      <c r="C101" s="137"/>
      <c r="D101" s="138"/>
      <c r="E101" s="138">
        <f>Data!$D$43</f>
        <v>6000</v>
      </c>
      <c r="F101" s="108">
        <f>Data!$I$24</f>
        <v>671000</v>
      </c>
      <c r="G101" s="138"/>
      <c r="J101" s="141">
        <f t="shared" si="8"/>
        <v>3821070.9000000004</v>
      </c>
      <c r="K101" s="213"/>
    </row>
    <row r="102" spans="1:11" s="229" customFormat="1" x14ac:dyDescent="0.3">
      <c r="A102" s="230" t="str">
        <f>VLOOKUP(WEEKDAY(B102),Data!$A$2:$B$8,2)</f>
        <v>Saturday</v>
      </c>
      <c r="B102" s="231">
        <f t="shared" si="7"/>
        <v>43197</v>
      </c>
      <c r="C102" s="232"/>
      <c r="D102" s="146"/>
      <c r="E102" s="233"/>
      <c r="F102" s="232"/>
      <c r="G102" s="146"/>
      <c r="H102" s="233"/>
      <c r="I102" s="233"/>
      <c r="J102" s="86">
        <f t="shared" si="8"/>
        <v>3821070.9000000004</v>
      </c>
      <c r="K102" s="213"/>
    </row>
    <row r="103" spans="1:11" s="229" customFormat="1" x14ac:dyDescent="0.3">
      <c r="A103" s="129" t="str">
        <f>VLOOKUP(WEEKDAY(B103),Data!$A$2:$B$8,2)</f>
        <v>Sunday</v>
      </c>
      <c r="B103" s="130">
        <f t="shared" si="7"/>
        <v>43198</v>
      </c>
      <c r="C103" s="108"/>
      <c r="D103" s="102"/>
      <c r="E103" s="73"/>
      <c r="F103" s="108"/>
      <c r="G103" s="102"/>
      <c r="H103" s="73"/>
      <c r="I103" s="73"/>
      <c r="J103" s="141">
        <f t="shared" si="8"/>
        <v>3821070.9000000004</v>
      </c>
      <c r="K103" s="213"/>
    </row>
    <row r="104" spans="1:11" s="229" customFormat="1" x14ac:dyDescent="0.3">
      <c r="A104" s="129" t="str">
        <f>VLOOKUP(WEEKDAY(B104),Data!$A$2:$B$8,2)</f>
        <v>Monday</v>
      </c>
      <c r="B104" s="130">
        <f t="shared" si="7"/>
        <v>43199</v>
      </c>
      <c r="C104" s="108"/>
      <c r="D104" s="102"/>
      <c r="E104" s="73"/>
      <c r="F104" s="108"/>
      <c r="G104" s="102"/>
      <c r="H104" s="73"/>
      <c r="I104" s="73"/>
      <c r="J104" s="72">
        <f t="shared" si="8"/>
        <v>3821070.9000000004</v>
      </c>
      <c r="K104" s="213"/>
    </row>
    <row r="105" spans="1:11" s="229" customFormat="1" x14ac:dyDescent="0.3">
      <c r="A105" s="134" t="str">
        <f>VLOOKUP(WEEKDAY(B105),Data!$A$2:$B$8,2)</f>
        <v>Tuesday</v>
      </c>
      <c r="B105" s="130">
        <f t="shared" si="7"/>
        <v>43200</v>
      </c>
      <c r="C105" s="108">
        <f>Data!$D$15</f>
        <v>73000</v>
      </c>
      <c r="D105" s="102"/>
      <c r="E105" s="102"/>
      <c r="F105" s="108"/>
      <c r="G105" s="102"/>
      <c r="H105" s="102"/>
      <c r="I105" s="102"/>
      <c r="J105" s="72">
        <f t="shared" si="8"/>
        <v>3894070.9000000004</v>
      </c>
      <c r="K105" s="213"/>
    </row>
    <row r="106" spans="1:11" s="229" customFormat="1" x14ac:dyDescent="0.3">
      <c r="A106" s="134" t="str">
        <f>VLOOKUP(WEEKDAY(B106),Data!$A$2:$B$8,2)</f>
        <v>Wednesday</v>
      </c>
      <c r="B106" s="130">
        <f t="shared" si="7"/>
        <v>43201</v>
      </c>
      <c r="C106" s="108"/>
      <c r="D106" s="102"/>
      <c r="E106" s="102"/>
      <c r="F106" s="108"/>
      <c r="G106" s="102"/>
      <c r="H106" s="102"/>
      <c r="I106" s="102"/>
      <c r="J106" s="72">
        <f t="shared" si="8"/>
        <v>3894070.9000000004</v>
      </c>
      <c r="K106" s="213"/>
    </row>
    <row r="107" spans="1:11" s="229" customFormat="1" x14ac:dyDescent="0.3">
      <c r="A107" s="134" t="str">
        <f>VLOOKUP(WEEKDAY(B107),Data!$A$2:$B$8,2)</f>
        <v>Thursday</v>
      </c>
      <c r="B107" s="130">
        <f t="shared" si="7"/>
        <v>43202</v>
      </c>
      <c r="C107" s="108"/>
      <c r="D107" s="102"/>
      <c r="E107" s="102"/>
      <c r="F107" s="108"/>
      <c r="G107" s="102"/>
      <c r="H107" s="102">
        <f>Data!$I$40</f>
        <v>8000</v>
      </c>
      <c r="I107" s="102">
        <f>Data!$I$47</f>
        <v>53000</v>
      </c>
      <c r="J107" s="72">
        <f>J106+SUM(C107:E107)-SUM(F107:I107)</f>
        <v>3833070.9000000004</v>
      </c>
      <c r="K107" s="213"/>
    </row>
    <row r="108" spans="1:11" s="229" customFormat="1" x14ac:dyDescent="0.3">
      <c r="A108" s="142" t="str">
        <f>VLOOKUP(WEEKDAY(B108),Data!$A$2:$B$8,2)</f>
        <v>Friday</v>
      </c>
      <c r="B108" s="136">
        <f t="shared" si="7"/>
        <v>43203</v>
      </c>
      <c r="C108" s="137"/>
      <c r="D108" s="138"/>
      <c r="E108" s="138">
        <f>Data!$D$43</f>
        <v>6000</v>
      </c>
      <c r="F108" s="137"/>
      <c r="G108" s="138"/>
      <c r="J108" s="141">
        <f t="shared" si="8"/>
        <v>3839070.9000000004</v>
      </c>
      <c r="K108" s="213"/>
    </row>
    <row r="109" spans="1:11" s="229" customFormat="1" x14ac:dyDescent="0.3">
      <c r="A109" s="230" t="str">
        <f>VLOOKUP(WEEKDAY(B109),Data!$A$2:$B$8,2)</f>
        <v>Saturday</v>
      </c>
      <c r="B109" s="231">
        <f t="shared" si="7"/>
        <v>43204</v>
      </c>
      <c r="C109" s="232"/>
      <c r="D109" s="146"/>
      <c r="E109" s="233"/>
      <c r="F109" s="232"/>
      <c r="G109" s="146"/>
      <c r="H109" s="233"/>
      <c r="I109" s="233"/>
      <c r="J109" s="86">
        <f t="shared" si="8"/>
        <v>3839070.9000000004</v>
      </c>
      <c r="K109" s="213"/>
    </row>
    <row r="110" spans="1:11" s="229" customFormat="1" x14ac:dyDescent="0.3">
      <c r="A110" s="129" t="str">
        <f>VLOOKUP(WEEKDAY(B110),Data!$A$2:$B$8,2)</f>
        <v>Sunday</v>
      </c>
      <c r="B110" s="130">
        <f t="shared" si="7"/>
        <v>43205</v>
      </c>
      <c r="C110" s="108"/>
      <c r="D110" s="102"/>
      <c r="E110" s="73"/>
      <c r="F110" s="108"/>
      <c r="G110" s="102"/>
      <c r="H110" s="73"/>
      <c r="I110" s="73"/>
      <c r="J110" s="141">
        <f t="shared" si="8"/>
        <v>3839070.9000000004</v>
      </c>
      <c r="K110" s="213"/>
    </row>
    <row r="111" spans="1:11" s="229" customFormat="1" x14ac:dyDescent="0.3">
      <c r="A111" s="129" t="str">
        <f>VLOOKUP(WEEKDAY(B111),Data!$A$2:$B$8,2)</f>
        <v>Monday</v>
      </c>
      <c r="B111" s="130">
        <f t="shared" si="7"/>
        <v>43206</v>
      </c>
      <c r="C111" s="108"/>
      <c r="D111" s="102"/>
      <c r="E111" s="73"/>
      <c r="F111" s="108"/>
      <c r="G111" s="102"/>
      <c r="H111" s="73"/>
      <c r="I111" s="73"/>
      <c r="J111" s="72">
        <f t="shared" si="8"/>
        <v>3839070.9000000004</v>
      </c>
      <c r="K111" s="213"/>
    </row>
    <row r="112" spans="1:11" s="229" customFormat="1" x14ac:dyDescent="0.3">
      <c r="A112" s="134" t="str">
        <f>VLOOKUP(WEEKDAY(B112),Data!$A$2:$B$8,2)</f>
        <v>Tuesday</v>
      </c>
      <c r="B112" s="130">
        <f t="shared" si="7"/>
        <v>43207</v>
      </c>
      <c r="C112" s="108"/>
      <c r="D112" s="102"/>
      <c r="E112" s="102"/>
      <c r="F112" s="108"/>
      <c r="G112" s="102"/>
      <c r="H112" s="102"/>
      <c r="I112" s="102"/>
      <c r="J112" s="72">
        <f t="shared" si="8"/>
        <v>3839070.9000000004</v>
      </c>
      <c r="K112" s="213"/>
    </row>
    <row r="113" spans="1:11" s="229" customFormat="1" x14ac:dyDescent="0.3">
      <c r="A113" s="134" t="str">
        <f>VLOOKUP(WEEKDAY(B113),Data!$A$2:$B$8,2)</f>
        <v>Wednesday</v>
      </c>
      <c r="B113" s="130">
        <f t="shared" si="7"/>
        <v>43208</v>
      </c>
      <c r="C113" s="108"/>
      <c r="D113" s="102"/>
      <c r="E113" s="102"/>
      <c r="F113" s="108"/>
      <c r="G113" s="102"/>
      <c r="H113" s="102"/>
      <c r="I113" s="102"/>
      <c r="J113" s="72">
        <f t="shared" si="8"/>
        <v>3839070.9000000004</v>
      </c>
      <c r="K113" s="213"/>
    </row>
    <row r="114" spans="1:11" s="229" customFormat="1" x14ac:dyDescent="0.3">
      <c r="A114" s="134" t="str">
        <f>VLOOKUP(WEEKDAY(B114),Data!$A$2:$B$8,2)</f>
        <v>Thursday</v>
      </c>
      <c r="B114" s="130">
        <f t="shared" si="7"/>
        <v>43209</v>
      </c>
      <c r="C114" s="108"/>
      <c r="D114" s="102"/>
      <c r="E114" s="102"/>
      <c r="F114" s="108"/>
      <c r="G114" s="102"/>
      <c r="H114" s="102">
        <f>Data!$I$40</f>
        <v>8000</v>
      </c>
      <c r="I114" s="102">
        <f>Data!$I$47</f>
        <v>53000</v>
      </c>
      <c r="J114" s="72">
        <f>J113+SUM(C114:E114)-SUM(F114:I114)</f>
        <v>3778070.9000000004</v>
      </c>
      <c r="K114" s="213"/>
    </row>
    <row r="115" spans="1:11" s="229" customFormat="1" x14ac:dyDescent="0.3">
      <c r="A115" s="142" t="str">
        <f>VLOOKUP(WEEKDAY(B115),Data!$A$2:$B$8,2)</f>
        <v>Friday</v>
      </c>
      <c r="B115" s="136">
        <f t="shared" si="7"/>
        <v>43210</v>
      </c>
      <c r="C115" s="108">
        <f>Data!$D$11</f>
        <v>1576000</v>
      </c>
      <c r="D115" s="138"/>
      <c r="E115" s="138">
        <f>Data!$D$43</f>
        <v>6000</v>
      </c>
      <c r="F115" s="108">
        <f>Data!$I$24</f>
        <v>671000</v>
      </c>
      <c r="G115" s="138"/>
      <c r="J115" s="141">
        <f t="shared" si="8"/>
        <v>4689070.9000000004</v>
      </c>
      <c r="K115" s="213"/>
    </row>
    <row r="116" spans="1:11" s="229" customFormat="1" x14ac:dyDescent="0.3">
      <c r="A116" s="230" t="str">
        <f>VLOOKUP(WEEKDAY(B116),Data!$A$2:$B$8,2)</f>
        <v>Saturday</v>
      </c>
      <c r="B116" s="231">
        <f t="shared" si="7"/>
        <v>43211</v>
      </c>
      <c r="C116" s="232"/>
      <c r="D116" s="146"/>
      <c r="E116" s="233"/>
      <c r="F116" s="232"/>
      <c r="G116" s="146"/>
      <c r="H116" s="233"/>
      <c r="I116" s="233"/>
      <c r="J116" s="86">
        <f t="shared" si="8"/>
        <v>4689070.9000000004</v>
      </c>
      <c r="K116" s="213"/>
    </row>
    <row r="117" spans="1:11" s="229" customFormat="1" x14ac:dyDescent="0.3">
      <c r="A117" s="129" t="str">
        <f>VLOOKUP(WEEKDAY(B117),Data!$A$2:$B$8,2)</f>
        <v>Sunday</v>
      </c>
      <c r="B117" s="130">
        <f t="shared" si="7"/>
        <v>43212</v>
      </c>
      <c r="C117" s="108"/>
      <c r="D117" s="102"/>
      <c r="E117" s="73"/>
      <c r="F117" s="108"/>
      <c r="G117" s="102"/>
      <c r="H117" s="73"/>
      <c r="I117" s="73"/>
      <c r="J117" s="141">
        <f t="shared" si="8"/>
        <v>4689070.9000000004</v>
      </c>
      <c r="K117" s="213"/>
    </row>
    <row r="118" spans="1:11" s="229" customFormat="1" x14ac:dyDescent="0.3">
      <c r="A118" s="129" t="str">
        <f>VLOOKUP(WEEKDAY(B118),Data!$A$2:$B$8,2)</f>
        <v>Monday</v>
      </c>
      <c r="B118" s="130">
        <f t="shared" si="7"/>
        <v>43213</v>
      </c>
      <c r="C118" s="108"/>
      <c r="D118" s="102"/>
      <c r="E118" s="73"/>
      <c r="F118" s="108"/>
      <c r="G118" s="102"/>
      <c r="H118" s="73"/>
      <c r="I118" s="73"/>
      <c r="J118" s="72">
        <f t="shared" si="8"/>
        <v>4689070.9000000004</v>
      </c>
      <c r="K118" s="213"/>
    </row>
    <row r="119" spans="1:11" s="229" customFormat="1" x14ac:dyDescent="0.3">
      <c r="A119" s="134" t="str">
        <f>VLOOKUP(WEEKDAY(B119),Data!$A$2:$B$8,2)</f>
        <v>Tuesday</v>
      </c>
      <c r="B119" s="130">
        <f t="shared" si="7"/>
        <v>43214</v>
      </c>
      <c r="C119" s="108"/>
      <c r="D119" s="102"/>
      <c r="E119" s="102"/>
      <c r="F119" s="108"/>
      <c r="G119" s="102"/>
      <c r="H119" s="102"/>
      <c r="I119" s="102"/>
      <c r="J119" s="72">
        <f t="shared" si="8"/>
        <v>4689070.9000000004</v>
      </c>
      <c r="K119" s="213"/>
    </row>
    <row r="120" spans="1:11" s="229" customFormat="1" x14ac:dyDescent="0.3">
      <c r="A120" s="134" t="str">
        <f>VLOOKUP(WEEKDAY(B120),Data!$A$2:$B$8,2)</f>
        <v>Wednesday</v>
      </c>
      <c r="B120" s="130">
        <f t="shared" si="7"/>
        <v>43215</v>
      </c>
      <c r="C120" s="108"/>
      <c r="D120" s="102"/>
      <c r="E120" s="102"/>
      <c r="F120" s="108"/>
      <c r="G120" s="102"/>
      <c r="H120" s="102"/>
      <c r="I120" s="102"/>
      <c r="J120" s="72">
        <f t="shared" si="8"/>
        <v>4689070.9000000004</v>
      </c>
      <c r="K120" s="213"/>
    </row>
    <row r="121" spans="1:11" s="229" customFormat="1" x14ac:dyDescent="0.3">
      <c r="A121" s="134" t="str">
        <f>VLOOKUP(WEEKDAY(B121),Data!$A$2:$B$8,2)</f>
        <v>Thursday</v>
      </c>
      <c r="B121" s="130">
        <f t="shared" si="7"/>
        <v>43216</v>
      </c>
      <c r="C121" s="108"/>
      <c r="D121" s="102"/>
      <c r="E121" s="102"/>
      <c r="F121" s="108"/>
      <c r="G121" s="138">
        <f>Data!$I$31</f>
        <v>190000</v>
      </c>
      <c r="H121" s="102">
        <f>Data!$I$40</f>
        <v>8000</v>
      </c>
      <c r="I121" s="102">
        <f>Data!$I$47</f>
        <v>53000</v>
      </c>
      <c r="J121" s="72">
        <f>J120+SUM(C121:E121)-SUM(F121:I121)</f>
        <v>4438070.9000000004</v>
      </c>
      <c r="K121" s="213"/>
    </row>
    <row r="122" spans="1:11" s="229" customFormat="1" x14ac:dyDescent="0.3">
      <c r="A122" s="142" t="str">
        <f>VLOOKUP(WEEKDAY(B122),Data!$A$2:$B$8,2)</f>
        <v>Friday</v>
      </c>
      <c r="B122" s="136">
        <f t="shared" si="7"/>
        <v>43217</v>
      </c>
      <c r="C122" s="137"/>
      <c r="D122" s="138">
        <f>Data!$D$36+Data!$D$39</f>
        <v>128000</v>
      </c>
      <c r="E122" s="138">
        <f>Data!$D$43</f>
        <v>6000</v>
      </c>
      <c r="F122" s="137"/>
      <c r="J122" s="141">
        <f t="shared" si="8"/>
        <v>4572070.9000000004</v>
      </c>
      <c r="K122" s="213"/>
    </row>
    <row r="123" spans="1:11" s="229" customFormat="1" x14ac:dyDescent="0.3">
      <c r="A123" s="230" t="str">
        <f>VLOOKUP(WEEKDAY(B123),Data!$A$2:$B$8,2)</f>
        <v>Saturday</v>
      </c>
      <c r="B123" s="231">
        <f t="shared" si="7"/>
        <v>43218</v>
      </c>
      <c r="C123" s="232"/>
      <c r="D123" s="146"/>
      <c r="E123" s="233"/>
      <c r="F123" s="232"/>
      <c r="G123" s="146"/>
      <c r="H123" s="233"/>
      <c r="I123" s="233"/>
      <c r="J123" s="86">
        <f t="shared" si="8"/>
        <v>4572070.9000000004</v>
      </c>
      <c r="K123" s="213"/>
    </row>
    <row r="124" spans="1:11" s="229" customFormat="1" x14ac:dyDescent="0.3">
      <c r="A124" s="129" t="str">
        <f>VLOOKUP(WEEKDAY(B124),Data!$A$2:$B$8,2)</f>
        <v>Sunday</v>
      </c>
      <c r="B124" s="130">
        <f t="shared" si="7"/>
        <v>43219</v>
      </c>
      <c r="C124" s="108"/>
      <c r="D124" s="102"/>
      <c r="E124" s="73"/>
      <c r="F124" s="108"/>
      <c r="G124" s="102"/>
      <c r="H124" s="73"/>
      <c r="I124" s="73"/>
      <c r="J124" s="141">
        <f t="shared" si="8"/>
        <v>4572070.9000000004</v>
      </c>
      <c r="K124" s="213"/>
    </row>
    <row r="125" spans="1:11" s="229" customFormat="1" x14ac:dyDescent="0.3">
      <c r="A125" s="129" t="str">
        <f>VLOOKUP(WEEKDAY(B125),Data!$A$2:$B$8,2)</f>
        <v>Monday</v>
      </c>
      <c r="B125" s="130">
        <f t="shared" si="7"/>
        <v>43220</v>
      </c>
      <c r="C125" s="108"/>
      <c r="D125" s="102">
        <f>Data!$C$29</f>
        <v>0</v>
      </c>
      <c r="E125" s="73"/>
      <c r="F125" s="108"/>
      <c r="G125" s="102"/>
      <c r="H125" s="73"/>
      <c r="I125" s="73"/>
      <c r="J125" s="72">
        <f t="shared" si="8"/>
        <v>4572070.9000000004</v>
      </c>
      <c r="K125" s="213"/>
    </row>
    <row r="126" spans="1:11" s="229" customFormat="1" x14ac:dyDescent="0.3">
      <c r="A126" s="134" t="str">
        <f>VLOOKUP(WEEKDAY(B126),Data!$A$2:$B$8,2)</f>
        <v>Tuesday</v>
      </c>
      <c r="B126" s="130">
        <f t="shared" si="7"/>
        <v>43221</v>
      </c>
      <c r="C126" s="108"/>
      <c r="D126" s="102"/>
      <c r="E126" s="102"/>
      <c r="F126" s="108"/>
      <c r="G126" s="102"/>
      <c r="H126" s="102"/>
      <c r="I126" s="102"/>
      <c r="J126" s="72">
        <f t="shared" si="8"/>
        <v>4572070.9000000004</v>
      </c>
      <c r="K126" s="213"/>
    </row>
    <row r="127" spans="1:11" s="229" customFormat="1" x14ac:dyDescent="0.3">
      <c r="A127" s="134" t="str">
        <f>VLOOKUP(WEEKDAY(B127),Data!$A$2:$B$8,2)</f>
        <v>Wednesday</v>
      </c>
      <c r="B127" s="130">
        <f t="shared" si="7"/>
        <v>43222</v>
      </c>
      <c r="C127" s="108"/>
      <c r="D127" s="102"/>
      <c r="E127" s="102"/>
      <c r="F127" s="108"/>
      <c r="G127" s="102"/>
      <c r="H127" s="102"/>
      <c r="I127" s="102"/>
      <c r="J127" s="72">
        <f t="shared" si="8"/>
        <v>4572070.9000000004</v>
      </c>
      <c r="K127" s="213"/>
    </row>
    <row r="128" spans="1:11" s="229" customFormat="1" x14ac:dyDescent="0.3">
      <c r="A128" s="134" t="str">
        <f>VLOOKUP(WEEKDAY(B128),Data!$A$2:$B$8,2)</f>
        <v>Thursday</v>
      </c>
      <c r="B128" s="130">
        <f t="shared" si="7"/>
        <v>43223</v>
      </c>
      <c r="C128" s="108"/>
      <c r="D128" s="102"/>
      <c r="E128" s="102"/>
      <c r="F128" s="108"/>
      <c r="G128" s="102"/>
      <c r="H128" s="102">
        <f>Data!$I$40</f>
        <v>8000</v>
      </c>
      <c r="I128" s="102">
        <f>Data!$I$47</f>
        <v>53000</v>
      </c>
      <c r="J128" s="72">
        <f>J127+SUM(C128:E128)-SUM(F128:I128)</f>
        <v>4511070.9000000004</v>
      </c>
      <c r="K128" s="213"/>
    </row>
    <row r="129" spans="1:11" s="229" customFormat="1" x14ac:dyDescent="0.3">
      <c r="A129" s="142" t="str">
        <f>VLOOKUP(WEEKDAY(B129),Data!$A$2:$B$8,2)</f>
        <v>Friday</v>
      </c>
      <c r="B129" s="136">
        <f t="shared" si="7"/>
        <v>43224</v>
      </c>
      <c r="C129" s="137"/>
      <c r="D129" s="138"/>
      <c r="E129" s="138">
        <f>Data!$D$43</f>
        <v>6000</v>
      </c>
      <c r="F129" s="108">
        <f>Data!$I$24</f>
        <v>671000</v>
      </c>
      <c r="G129" s="138"/>
      <c r="J129" s="141">
        <f t="shared" si="8"/>
        <v>3846070.9000000004</v>
      </c>
      <c r="K129" s="213"/>
    </row>
    <row r="130" spans="1:11" s="229" customFormat="1" x14ac:dyDescent="0.3">
      <c r="A130" s="230" t="str">
        <f>VLOOKUP(WEEKDAY(B130),Data!$A$2:$B$8,2)</f>
        <v>Saturday</v>
      </c>
      <c r="B130" s="231">
        <f t="shared" si="7"/>
        <v>43225</v>
      </c>
      <c r="C130" s="232"/>
      <c r="D130" s="146"/>
      <c r="E130" s="233"/>
      <c r="F130" s="232"/>
      <c r="G130" s="146"/>
      <c r="H130" s="233"/>
      <c r="I130" s="233"/>
      <c r="J130" s="86">
        <f t="shared" si="8"/>
        <v>3846070.9000000004</v>
      </c>
      <c r="K130" s="213"/>
    </row>
    <row r="131" spans="1:11" s="229" customFormat="1" x14ac:dyDescent="0.3">
      <c r="A131" s="129" t="str">
        <f>VLOOKUP(WEEKDAY(B131),Data!$A$2:$B$8,2)</f>
        <v>Sunday</v>
      </c>
      <c r="B131" s="130">
        <f t="shared" si="7"/>
        <v>43226</v>
      </c>
      <c r="C131" s="108"/>
      <c r="D131" s="102"/>
      <c r="E131" s="73"/>
      <c r="F131" s="108"/>
      <c r="G131" s="102"/>
      <c r="H131" s="73"/>
      <c r="I131" s="73"/>
      <c r="J131" s="141">
        <f t="shared" si="8"/>
        <v>3846070.9000000004</v>
      </c>
      <c r="K131" s="213"/>
    </row>
    <row r="132" spans="1:11" s="229" customFormat="1" x14ac:dyDescent="0.3">
      <c r="A132" s="129" t="str">
        <f>VLOOKUP(WEEKDAY(B132),Data!$A$2:$B$8,2)</f>
        <v>Monday</v>
      </c>
      <c r="B132" s="130">
        <f t="shared" si="7"/>
        <v>43227</v>
      </c>
      <c r="C132" s="108"/>
      <c r="D132" s="102"/>
      <c r="E132" s="73"/>
      <c r="F132" s="108"/>
      <c r="G132" s="102"/>
      <c r="H132" s="73"/>
      <c r="I132" s="73"/>
      <c r="J132" s="72">
        <f t="shared" si="8"/>
        <v>3846070.9000000004</v>
      </c>
      <c r="K132" s="213"/>
    </row>
    <row r="133" spans="1:11" s="229" customFormat="1" x14ac:dyDescent="0.3">
      <c r="A133" s="134" t="str">
        <f>VLOOKUP(WEEKDAY(B133),Data!$A$2:$B$8,2)</f>
        <v>Tuesday</v>
      </c>
      <c r="B133" s="130">
        <f t="shared" si="7"/>
        <v>43228</v>
      </c>
      <c r="C133" s="108"/>
      <c r="D133" s="102"/>
      <c r="E133" s="102"/>
      <c r="F133" s="108"/>
      <c r="G133" s="102"/>
      <c r="H133" s="102"/>
      <c r="I133" s="102"/>
      <c r="J133" s="72">
        <f t="shared" si="8"/>
        <v>3846070.9000000004</v>
      </c>
      <c r="K133" s="213"/>
    </row>
    <row r="134" spans="1:11" s="229" customFormat="1" x14ac:dyDescent="0.3">
      <c r="A134" s="134" t="str">
        <f>VLOOKUP(WEEKDAY(B134),Data!$A$2:$B$8,2)</f>
        <v>Wednesday</v>
      </c>
      <c r="B134" s="130">
        <f t="shared" si="7"/>
        <v>43229</v>
      </c>
      <c r="C134" s="108"/>
      <c r="D134" s="102"/>
      <c r="E134" s="102"/>
      <c r="F134" s="108"/>
      <c r="G134" s="102"/>
      <c r="H134" s="102"/>
      <c r="I134" s="102"/>
      <c r="J134" s="72">
        <f t="shared" si="8"/>
        <v>3846070.9000000004</v>
      </c>
      <c r="K134" s="213"/>
    </row>
    <row r="135" spans="1:11" s="229" customFormat="1" x14ac:dyDescent="0.3">
      <c r="A135" s="134" t="str">
        <f>VLOOKUP(WEEKDAY(B135),Data!$A$2:$B$8,2)</f>
        <v>Thursday</v>
      </c>
      <c r="B135" s="130">
        <f t="shared" ref="B135:B165" si="9">B134+1</f>
        <v>43230</v>
      </c>
      <c r="C135" s="108">
        <f>Data!$D$15</f>
        <v>73000</v>
      </c>
      <c r="D135" s="102"/>
      <c r="E135" s="102"/>
      <c r="F135" s="108"/>
      <c r="G135" s="102"/>
      <c r="H135" s="102">
        <f>Data!$I$40</f>
        <v>8000</v>
      </c>
      <c r="I135" s="102">
        <f>Data!$I$47</f>
        <v>53000</v>
      </c>
      <c r="J135" s="72">
        <f>J134+SUM(C135:E135)-SUM(F135:I135)</f>
        <v>3858070.9000000004</v>
      </c>
      <c r="K135" s="213"/>
    </row>
    <row r="136" spans="1:11" s="229" customFormat="1" x14ac:dyDescent="0.3">
      <c r="A136" s="142" t="str">
        <f>VLOOKUP(WEEKDAY(B136),Data!$A$2:$B$8,2)</f>
        <v>Friday</v>
      </c>
      <c r="B136" s="136">
        <f t="shared" si="9"/>
        <v>43231</v>
      </c>
      <c r="C136" s="137"/>
      <c r="D136" s="138"/>
      <c r="E136" s="138">
        <f>Data!$D$43</f>
        <v>6000</v>
      </c>
      <c r="F136" s="137"/>
      <c r="G136" s="138"/>
      <c r="J136" s="141">
        <f t="shared" si="8"/>
        <v>3864070.9000000004</v>
      </c>
      <c r="K136" s="213"/>
    </row>
    <row r="137" spans="1:11" s="229" customFormat="1" x14ac:dyDescent="0.3">
      <c r="A137" s="230" t="str">
        <f>VLOOKUP(WEEKDAY(B137),Data!$A$2:$B$8,2)</f>
        <v>Saturday</v>
      </c>
      <c r="B137" s="231">
        <f t="shared" si="9"/>
        <v>43232</v>
      </c>
      <c r="C137" s="232"/>
      <c r="D137" s="146"/>
      <c r="E137" s="233"/>
      <c r="F137" s="232"/>
      <c r="G137" s="146"/>
      <c r="H137" s="233"/>
      <c r="I137" s="233"/>
      <c r="J137" s="86">
        <f t="shared" si="8"/>
        <v>3864070.9000000004</v>
      </c>
      <c r="K137" s="213"/>
    </row>
    <row r="138" spans="1:11" s="229" customFormat="1" x14ac:dyDescent="0.3">
      <c r="A138" s="129" t="str">
        <f>VLOOKUP(WEEKDAY(B138),Data!$A$2:$B$8,2)</f>
        <v>Sunday</v>
      </c>
      <c r="B138" s="130">
        <f t="shared" si="9"/>
        <v>43233</v>
      </c>
      <c r="C138" s="108"/>
      <c r="D138" s="102"/>
      <c r="E138" s="73"/>
      <c r="F138" s="108"/>
      <c r="G138" s="102"/>
      <c r="H138" s="73"/>
      <c r="I138" s="73"/>
      <c r="J138" s="141">
        <f t="shared" si="8"/>
        <v>3864070.9000000004</v>
      </c>
      <c r="K138" s="213"/>
    </row>
    <row r="139" spans="1:11" s="229" customFormat="1" x14ac:dyDescent="0.3">
      <c r="A139" s="129" t="str">
        <f>VLOOKUP(WEEKDAY(B139),Data!$A$2:$B$8,2)</f>
        <v>Monday</v>
      </c>
      <c r="B139" s="130">
        <f t="shared" si="9"/>
        <v>43234</v>
      </c>
      <c r="C139" s="108"/>
      <c r="D139" s="102"/>
      <c r="E139" s="73"/>
      <c r="F139" s="108"/>
      <c r="G139" s="102"/>
      <c r="H139" s="73"/>
      <c r="I139" s="73"/>
      <c r="J139" s="72">
        <f t="shared" si="8"/>
        <v>3864070.9000000004</v>
      </c>
      <c r="K139" s="213"/>
    </row>
    <row r="140" spans="1:11" s="229" customFormat="1" x14ac:dyDescent="0.3">
      <c r="A140" s="134" t="str">
        <f>VLOOKUP(WEEKDAY(B140),Data!$A$2:$B$8,2)</f>
        <v>Tuesday</v>
      </c>
      <c r="B140" s="130">
        <f t="shared" si="9"/>
        <v>43235</v>
      </c>
      <c r="C140" s="108"/>
      <c r="D140" s="102"/>
      <c r="E140" s="102"/>
      <c r="F140" s="108"/>
      <c r="G140" s="102"/>
      <c r="H140" s="102"/>
      <c r="I140" s="102"/>
      <c r="J140" s="72">
        <f t="shared" si="8"/>
        <v>3864070.9000000004</v>
      </c>
      <c r="K140" s="213"/>
    </row>
    <row r="141" spans="1:11" s="229" customFormat="1" x14ac:dyDescent="0.3">
      <c r="A141" s="134" t="str">
        <f>VLOOKUP(WEEKDAY(B141),Data!$A$2:$B$8,2)</f>
        <v>Wednesday</v>
      </c>
      <c r="B141" s="130">
        <f t="shared" si="9"/>
        <v>43236</v>
      </c>
      <c r="C141" s="108"/>
      <c r="D141" s="102"/>
      <c r="E141" s="102"/>
      <c r="F141" s="108"/>
      <c r="G141" s="102"/>
      <c r="H141" s="102"/>
      <c r="I141" s="102"/>
      <c r="J141" s="72">
        <f t="shared" si="8"/>
        <v>3864070.9000000004</v>
      </c>
      <c r="K141" s="213"/>
    </row>
    <row r="142" spans="1:11" s="229" customFormat="1" x14ac:dyDescent="0.3">
      <c r="A142" s="134" t="str">
        <f>VLOOKUP(WEEKDAY(B142),Data!$A$2:$B$8,2)</f>
        <v>Thursday</v>
      </c>
      <c r="B142" s="130">
        <f t="shared" si="9"/>
        <v>43237</v>
      </c>
      <c r="C142" s="108"/>
      <c r="D142" s="102"/>
      <c r="E142" s="102"/>
      <c r="F142" s="108"/>
      <c r="G142" s="102"/>
      <c r="H142" s="102">
        <f>Data!$I$40</f>
        <v>8000</v>
      </c>
      <c r="I142" s="102">
        <f>Data!$I$47</f>
        <v>53000</v>
      </c>
      <c r="J142" s="72">
        <f>J141+SUM(C142:E142)-SUM(F142:I142)</f>
        <v>3803070.9000000004</v>
      </c>
      <c r="K142" s="213"/>
    </row>
    <row r="143" spans="1:11" s="229" customFormat="1" x14ac:dyDescent="0.3">
      <c r="A143" s="142" t="str">
        <f>VLOOKUP(WEEKDAY(B143),Data!$A$2:$B$8,2)</f>
        <v>Friday</v>
      </c>
      <c r="B143" s="136">
        <f t="shared" si="9"/>
        <v>43238</v>
      </c>
      <c r="C143" s="137"/>
      <c r="D143" s="138"/>
      <c r="E143" s="138">
        <f>Data!$D$43</f>
        <v>6000</v>
      </c>
      <c r="F143" s="137"/>
      <c r="G143" s="138"/>
      <c r="J143" s="141">
        <f t="shared" si="8"/>
        <v>3809070.9000000004</v>
      </c>
      <c r="K143" s="213"/>
    </row>
    <row r="144" spans="1:11" s="229" customFormat="1" x14ac:dyDescent="0.3">
      <c r="A144" s="230" t="str">
        <f>VLOOKUP(WEEKDAY(B144),Data!$A$2:$B$8,2)</f>
        <v>Saturday</v>
      </c>
      <c r="B144" s="231">
        <f t="shared" si="9"/>
        <v>43239</v>
      </c>
      <c r="C144" s="232"/>
      <c r="D144" s="146"/>
      <c r="E144" s="233"/>
      <c r="F144" s="232"/>
      <c r="G144" s="146"/>
      <c r="H144" s="233"/>
      <c r="I144" s="233"/>
      <c r="J144" s="86">
        <f t="shared" si="8"/>
        <v>3809070.9000000004</v>
      </c>
      <c r="K144" s="213"/>
    </row>
    <row r="145" spans="1:11" s="229" customFormat="1" x14ac:dyDescent="0.3">
      <c r="A145" s="129" t="str">
        <f>VLOOKUP(WEEKDAY(B145),Data!$A$2:$B$8,2)</f>
        <v>Sunday</v>
      </c>
      <c r="B145" s="130">
        <f t="shared" si="9"/>
        <v>43240</v>
      </c>
      <c r="C145" s="108"/>
      <c r="D145" s="102"/>
      <c r="E145" s="73"/>
      <c r="F145" s="108"/>
      <c r="G145" s="102"/>
      <c r="H145" s="73"/>
      <c r="I145" s="73"/>
      <c r="J145" s="141">
        <f t="shared" si="8"/>
        <v>3809070.9000000004</v>
      </c>
      <c r="K145" s="213"/>
    </row>
    <row r="146" spans="1:11" s="229" customFormat="1" x14ac:dyDescent="0.3">
      <c r="A146" s="129" t="str">
        <f>VLOOKUP(WEEKDAY(B146),Data!$A$2:$B$8,2)</f>
        <v>Monday</v>
      </c>
      <c r="B146" s="130">
        <f t="shared" si="9"/>
        <v>43241</v>
      </c>
      <c r="C146" s="108">
        <f>Data!$D$11</f>
        <v>1576000</v>
      </c>
      <c r="D146" s="102"/>
      <c r="E146" s="73"/>
      <c r="F146" s="108">
        <f>Data!$I$24</f>
        <v>671000</v>
      </c>
      <c r="G146" s="102"/>
      <c r="H146" s="73"/>
      <c r="I146" s="73"/>
      <c r="J146" s="72">
        <f t="shared" si="8"/>
        <v>4714070.9000000004</v>
      </c>
      <c r="K146" s="213"/>
    </row>
    <row r="147" spans="1:11" s="229" customFormat="1" x14ac:dyDescent="0.3">
      <c r="A147" s="134" t="str">
        <f>VLOOKUP(WEEKDAY(B147),Data!$A$2:$B$8,2)</f>
        <v>Tuesday</v>
      </c>
      <c r="B147" s="130">
        <f t="shared" si="9"/>
        <v>43242</v>
      </c>
      <c r="C147" s="108"/>
      <c r="D147" s="102"/>
      <c r="E147" s="102"/>
      <c r="F147" s="108"/>
      <c r="G147" s="102"/>
      <c r="H147" s="102"/>
      <c r="I147" s="102"/>
      <c r="J147" s="72">
        <f t="shared" si="8"/>
        <v>4714070.9000000004</v>
      </c>
      <c r="K147" s="213"/>
    </row>
    <row r="148" spans="1:11" s="229" customFormat="1" x14ac:dyDescent="0.3">
      <c r="A148" s="134" t="str">
        <f>VLOOKUP(WEEKDAY(B148),Data!$A$2:$B$8,2)</f>
        <v>Wednesday</v>
      </c>
      <c r="B148" s="130">
        <f t="shared" si="9"/>
        <v>43243</v>
      </c>
      <c r="C148" s="108"/>
      <c r="D148" s="102"/>
      <c r="E148" s="102"/>
      <c r="F148" s="108"/>
      <c r="G148" s="102"/>
      <c r="H148" s="102"/>
      <c r="I148" s="102"/>
      <c r="J148" s="72">
        <f t="shared" si="8"/>
        <v>4714070.9000000004</v>
      </c>
      <c r="K148" s="213"/>
    </row>
    <row r="149" spans="1:11" s="229" customFormat="1" x14ac:dyDescent="0.3">
      <c r="A149" s="134" t="str">
        <f>VLOOKUP(WEEKDAY(B149),Data!$A$2:$B$8,2)</f>
        <v>Thursday</v>
      </c>
      <c r="B149" s="130">
        <f t="shared" si="9"/>
        <v>43244</v>
      </c>
      <c r="C149" s="108"/>
      <c r="D149" s="102"/>
      <c r="E149" s="102"/>
      <c r="F149" s="108"/>
      <c r="G149" s="138">
        <f>Data!$I$31</f>
        <v>190000</v>
      </c>
      <c r="H149" s="102">
        <f>Data!$I$40</f>
        <v>8000</v>
      </c>
      <c r="I149" s="102">
        <f>Data!$I$47</f>
        <v>53000</v>
      </c>
      <c r="J149" s="72">
        <f>J148+SUM(C149:E149)-SUM(F149:I149)</f>
        <v>4463070.9000000004</v>
      </c>
      <c r="K149" s="213"/>
    </row>
    <row r="150" spans="1:11" s="229" customFormat="1" x14ac:dyDescent="0.3">
      <c r="A150" s="142" t="str">
        <f>VLOOKUP(WEEKDAY(B150),Data!$A$2:$B$8,2)</f>
        <v>Friday</v>
      </c>
      <c r="B150" s="136">
        <f t="shared" si="9"/>
        <v>43245</v>
      </c>
      <c r="C150" s="137"/>
      <c r="D150" s="138"/>
      <c r="E150" s="138">
        <f>Data!$D$43</f>
        <v>6000</v>
      </c>
      <c r="F150" s="137"/>
      <c r="J150" s="141">
        <f t="shared" si="8"/>
        <v>4469070.9000000004</v>
      </c>
      <c r="K150" s="213"/>
    </row>
    <row r="151" spans="1:11" s="229" customFormat="1" x14ac:dyDescent="0.3">
      <c r="A151" s="230" t="str">
        <f>VLOOKUP(WEEKDAY(B151),Data!$A$2:$B$8,2)</f>
        <v>Saturday</v>
      </c>
      <c r="B151" s="231">
        <f t="shared" si="9"/>
        <v>43246</v>
      </c>
      <c r="C151" s="232"/>
      <c r="D151" s="146"/>
      <c r="E151" s="233"/>
      <c r="F151" s="232"/>
      <c r="G151" s="146"/>
      <c r="H151" s="233"/>
      <c r="I151" s="233"/>
      <c r="J151" s="86">
        <f t="shared" si="8"/>
        <v>4469070.9000000004</v>
      </c>
      <c r="K151" s="213"/>
    </row>
    <row r="152" spans="1:11" s="229" customFormat="1" x14ac:dyDescent="0.3">
      <c r="A152" s="129" t="str">
        <f>VLOOKUP(WEEKDAY(B152),Data!$A$2:$B$8,2)</f>
        <v>Sunday</v>
      </c>
      <c r="B152" s="130">
        <f t="shared" si="9"/>
        <v>43247</v>
      </c>
      <c r="C152" s="108"/>
      <c r="D152" s="102"/>
      <c r="E152" s="73"/>
      <c r="F152" s="108"/>
      <c r="G152" s="102"/>
      <c r="H152" s="73"/>
      <c r="I152" s="73"/>
      <c r="J152" s="141">
        <f t="shared" si="8"/>
        <v>4469070.9000000004</v>
      </c>
      <c r="K152" s="213"/>
    </row>
    <row r="153" spans="1:11" s="229" customFormat="1" x14ac:dyDescent="0.3">
      <c r="A153" s="129" t="str">
        <f>VLOOKUP(WEEKDAY(B153),Data!$A$2:$B$8,2)</f>
        <v>Monday</v>
      </c>
      <c r="B153" s="130">
        <f t="shared" si="9"/>
        <v>43248</v>
      </c>
      <c r="C153" s="108"/>
      <c r="D153" s="102"/>
      <c r="E153" s="73"/>
      <c r="F153" s="108"/>
      <c r="G153" s="102"/>
      <c r="H153" s="73"/>
      <c r="I153" s="73"/>
      <c r="J153" s="72">
        <f t="shared" ref="J153:J165" si="10">J152+SUM(C153:E153)-SUM(F153:I153)</f>
        <v>4469070.9000000004</v>
      </c>
      <c r="K153" s="213"/>
    </row>
    <row r="154" spans="1:11" s="229" customFormat="1" x14ac:dyDescent="0.3">
      <c r="A154" s="134" t="str">
        <f>VLOOKUP(WEEKDAY(B154),Data!$A$2:$B$8,2)</f>
        <v>Tuesday</v>
      </c>
      <c r="B154" s="130">
        <f t="shared" si="9"/>
        <v>43249</v>
      </c>
      <c r="C154" s="108"/>
      <c r="D154" s="102"/>
      <c r="E154" s="102"/>
      <c r="F154" s="108"/>
      <c r="G154" s="102"/>
      <c r="H154" s="102"/>
      <c r="I154" s="102"/>
      <c r="J154" s="72">
        <f t="shared" si="10"/>
        <v>4469070.9000000004</v>
      </c>
      <c r="K154" s="213"/>
    </row>
    <row r="155" spans="1:11" s="229" customFormat="1" x14ac:dyDescent="0.3">
      <c r="A155" s="134" t="str">
        <f>VLOOKUP(WEEKDAY(B155),Data!$A$2:$B$8,2)</f>
        <v>Wednesday</v>
      </c>
      <c r="B155" s="130">
        <f t="shared" si="9"/>
        <v>43250</v>
      </c>
      <c r="C155" s="108"/>
      <c r="D155" s="102"/>
      <c r="E155" s="102"/>
      <c r="F155" s="108"/>
      <c r="G155" s="102"/>
      <c r="H155" s="102"/>
      <c r="I155" s="102"/>
      <c r="J155" s="72">
        <f t="shared" si="10"/>
        <v>4469070.9000000004</v>
      </c>
      <c r="K155" s="213"/>
    </row>
    <row r="156" spans="1:11" s="229" customFormat="1" x14ac:dyDescent="0.3">
      <c r="A156" s="134" t="str">
        <f>VLOOKUP(WEEKDAY(B156),Data!$A$2:$B$8,2)</f>
        <v>Thursday</v>
      </c>
      <c r="B156" s="130">
        <f t="shared" si="9"/>
        <v>43251</v>
      </c>
      <c r="C156" s="108"/>
      <c r="D156" s="102">
        <f>Data!$C$30</f>
        <v>0</v>
      </c>
      <c r="E156" s="102"/>
      <c r="F156" s="108"/>
      <c r="G156" s="102"/>
      <c r="H156" s="102">
        <f>Data!$I$40</f>
        <v>8000</v>
      </c>
      <c r="I156" s="102">
        <f>Data!$I$47</f>
        <v>53000</v>
      </c>
      <c r="J156" s="72">
        <f>J155+SUM(C156:E156)-SUM(F156:I156)</f>
        <v>4408070.9000000004</v>
      </c>
      <c r="K156" s="213"/>
    </row>
    <row r="157" spans="1:11" s="229" customFormat="1" x14ac:dyDescent="0.3">
      <c r="A157" s="142" t="str">
        <f>VLOOKUP(WEEKDAY(B157),Data!$A$2:$B$8,2)</f>
        <v>Friday</v>
      </c>
      <c r="B157" s="136">
        <f t="shared" si="9"/>
        <v>43252</v>
      </c>
      <c r="C157" s="137"/>
      <c r="D157" s="138"/>
      <c r="E157" s="138">
        <f>Data!$D$43</f>
        <v>6000</v>
      </c>
      <c r="F157" s="137"/>
      <c r="G157" s="138"/>
      <c r="J157" s="141">
        <f t="shared" si="10"/>
        <v>4414070.9000000004</v>
      </c>
      <c r="K157" s="213"/>
    </row>
    <row r="158" spans="1:11" s="229" customFormat="1" x14ac:dyDescent="0.3">
      <c r="A158" s="230" t="str">
        <f>VLOOKUP(WEEKDAY(B158),Data!$A$2:$B$8,2)</f>
        <v>Saturday</v>
      </c>
      <c r="B158" s="231">
        <f t="shared" si="9"/>
        <v>43253</v>
      </c>
      <c r="C158" s="232"/>
      <c r="D158" s="146"/>
      <c r="E158" s="233"/>
      <c r="F158" s="232"/>
      <c r="G158" s="146"/>
      <c r="H158" s="233"/>
      <c r="I158" s="233"/>
      <c r="J158" s="86">
        <f t="shared" si="10"/>
        <v>4414070.9000000004</v>
      </c>
      <c r="K158" s="213"/>
    </row>
    <row r="159" spans="1:11" s="229" customFormat="1" x14ac:dyDescent="0.3">
      <c r="A159" s="129" t="str">
        <f>VLOOKUP(WEEKDAY(B159),Data!$A$2:$B$8,2)</f>
        <v>Sunday</v>
      </c>
      <c r="B159" s="130">
        <f t="shared" si="9"/>
        <v>43254</v>
      </c>
      <c r="C159" s="108"/>
      <c r="D159" s="102"/>
      <c r="E159" s="73"/>
      <c r="F159" s="108"/>
      <c r="G159" s="102"/>
      <c r="H159" s="73"/>
      <c r="I159" s="73"/>
      <c r="J159" s="141">
        <f t="shared" si="10"/>
        <v>4414070.9000000004</v>
      </c>
      <c r="K159" s="213"/>
    </row>
    <row r="160" spans="1:11" s="229" customFormat="1" x14ac:dyDescent="0.3">
      <c r="A160" s="129" t="str">
        <f>VLOOKUP(WEEKDAY(B160),Data!$A$2:$B$8,2)</f>
        <v>Monday</v>
      </c>
      <c r="B160" s="130">
        <f t="shared" si="9"/>
        <v>43255</v>
      </c>
      <c r="C160" s="108"/>
      <c r="D160" s="102"/>
      <c r="E160" s="73"/>
      <c r="F160" s="108"/>
      <c r="G160" s="102"/>
      <c r="H160" s="73"/>
      <c r="I160" s="73"/>
      <c r="J160" s="72">
        <f t="shared" si="10"/>
        <v>4414070.9000000004</v>
      </c>
      <c r="K160" s="213"/>
    </row>
    <row r="161" spans="1:16" s="229" customFormat="1" x14ac:dyDescent="0.3">
      <c r="A161" s="134" t="str">
        <f>VLOOKUP(WEEKDAY(B161),Data!$A$2:$B$8,2)</f>
        <v>Tuesday</v>
      </c>
      <c r="B161" s="130">
        <f t="shared" si="9"/>
        <v>43256</v>
      </c>
      <c r="C161" s="108"/>
      <c r="D161" s="102"/>
      <c r="E161" s="102"/>
      <c r="F161" s="108"/>
      <c r="G161" s="102"/>
      <c r="H161" s="102"/>
      <c r="I161" s="102"/>
      <c r="J161" s="72">
        <f t="shared" si="10"/>
        <v>4414070.9000000004</v>
      </c>
      <c r="K161" s="213"/>
    </row>
    <row r="162" spans="1:16" s="229" customFormat="1" x14ac:dyDescent="0.3">
      <c r="A162" s="134" t="str">
        <f>VLOOKUP(WEEKDAY(B162),Data!$A$2:$B$8,2)</f>
        <v>Wednesday</v>
      </c>
      <c r="B162" s="130">
        <f t="shared" si="9"/>
        <v>43257</v>
      </c>
      <c r="C162" s="108"/>
      <c r="D162" s="102"/>
      <c r="E162" s="102"/>
      <c r="F162" s="108">
        <f>Data!$I$24</f>
        <v>671000</v>
      </c>
      <c r="G162" s="102"/>
      <c r="H162" s="102"/>
      <c r="I162" s="102"/>
      <c r="J162" s="72">
        <f t="shared" si="10"/>
        <v>3743070.9000000004</v>
      </c>
      <c r="K162" s="213"/>
    </row>
    <row r="163" spans="1:16" s="229" customFormat="1" x14ac:dyDescent="0.3">
      <c r="A163" s="134" t="str">
        <f>VLOOKUP(WEEKDAY(B163),Data!$A$2:$B$8,2)</f>
        <v>Thursday</v>
      </c>
      <c r="B163" s="130">
        <f t="shared" si="9"/>
        <v>43258</v>
      </c>
      <c r="C163" s="108"/>
      <c r="D163" s="102"/>
      <c r="E163" s="102"/>
      <c r="F163" s="108"/>
      <c r="G163" s="102"/>
      <c r="H163" s="102">
        <f>Data!$I$40</f>
        <v>8000</v>
      </c>
      <c r="I163" s="102">
        <f>Data!$I$47</f>
        <v>53000</v>
      </c>
      <c r="J163" s="72">
        <f>J162+SUM(C163:E163)-SUM(F163:I163)</f>
        <v>3682070.9000000004</v>
      </c>
      <c r="K163" s="213"/>
    </row>
    <row r="164" spans="1:16" s="229" customFormat="1" x14ac:dyDescent="0.3">
      <c r="A164" s="142" t="str">
        <f>VLOOKUP(WEEKDAY(B164),Data!$A$2:$B$8,2)</f>
        <v>Friday</v>
      </c>
      <c r="B164" s="136">
        <f t="shared" si="9"/>
        <v>43259</v>
      </c>
      <c r="C164" s="137"/>
      <c r="D164" s="138"/>
      <c r="E164" s="138">
        <f>Data!$D$43</f>
        <v>6000</v>
      </c>
      <c r="F164" s="137"/>
      <c r="G164" s="138"/>
      <c r="J164" s="141">
        <f t="shared" si="10"/>
        <v>3688070.9000000004</v>
      </c>
      <c r="K164" s="213"/>
    </row>
    <row r="165" spans="1:16" s="229" customFormat="1" x14ac:dyDescent="0.3">
      <c r="A165" s="230" t="str">
        <f>VLOOKUP(WEEKDAY(B165),Data!$A$2:$B$8,2)</f>
        <v>Saturday</v>
      </c>
      <c r="B165" s="231">
        <f t="shared" si="9"/>
        <v>43260</v>
      </c>
      <c r="C165" s="232"/>
      <c r="D165" s="146"/>
      <c r="E165" s="233"/>
      <c r="F165" s="232"/>
      <c r="G165" s="146"/>
      <c r="H165" s="233"/>
      <c r="I165" s="233"/>
      <c r="J165" s="86">
        <f t="shared" si="10"/>
        <v>3688070.9000000004</v>
      </c>
      <c r="K165" s="213"/>
    </row>
    <row r="166" spans="1:16" s="59" customFormat="1" x14ac:dyDescent="0.3">
      <c r="A166" s="129" t="str">
        <f>VLOOKUP(WEEKDAY(B166),Data!$A$2:$B$8,2)</f>
        <v>Sunday</v>
      </c>
      <c r="B166" s="130">
        <f>B165+1</f>
        <v>43261</v>
      </c>
      <c r="C166" s="108"/>
      <c r="D166" s="102"/>
      <c r="E166" s="102"/>
      <c r="F166" s="108"/>
      <c r="G166" s="102"/>
      <c r="H166" s="102"/>
      <c r="I166" s="102"/>
      <c r="J166" s="72">
        <f>J165+SUM(C166:E166)-SUM(F166:I166)</f>
        <v>3688070.9000000004</v>
      </c>
      <c r="K166" s="213"/>
      <c r="L166" s="290"/>
      <c r="M166" s="290"/>
      <c r="N166" s="290"/>
      <c r="O166" s="100"/>
      <c r="P166"/>
    </row>
    <row r="167" spans="1:16" s="59" customFormat="1" x14ac:dyDescent="0.3">
      <c r="A167" s="129" t="str">
        <f>VLOOKUP(WEEKDAY(B167),Data!$A$2:$B$8,2)</f>
        <v>Monday</v>
      </c>
      <c r="B167" s="130">
        <f t="shared" ref="B167:B174" si="11">B166+1</f>
        <v>43262</v>
      </c>
      <c r="C167" s="108">
        <f>Data!$D$15</f>
        <v>73000</v>
      </c>
      <c r="D167" s="102"/>
      <c r="E167" s="73"/>
      <c r="F167" s="108"/>
      <c r="G167" s="102"/>
      <c r="H167" s="73"/>
      <c r="I167" s="73"/>
      <c r="J167" s="141">
        <f t="shared" ref="J167:J186" si="12">J166+SUM(C167:E167)-SUM(F167:I167)</f>
        <v>3761070.9000000004</v>
      </c>
      <c r="K167" s="255"/>
      <c r="L167" s="290"/>
      <c r="M167" s="89"/>
      <c r="N167" s="290"/>
      <c r="O167" s="100"/>
    </row>
    <row r="168" spans="1:16" s="59" customFormat="1" x14ac:dyDescent="0.3">
      <c r="A168" s="129" t="str">
        <f>VLOOKUP(WEEKDAY(B168),Data!$A$2:$B$8,2)</f>
        <v>Tuesday</v>
      </c>
      <c r="B168" s="130">
        <f t="shared" si="11"/>
        <v>43263</v>
      </c>
      <c r="C168" s="108"/>
      <c r="D168" s="102"/>
      <c r="E168" s="73"/>
      <c r="F168" s="108"/>
      <c r="G168" s="102"/>
      <c r="H168" s="73"/>
      <c r="I168" s="73"/>
      <c r="J168" s="72">
        <f t="shared" si="12"/>
        <v>3761070.9000000004</v>
      </c>
      <c r="K168" s="213"/>
      <c r="L168" s="290"/>
      <c r="M168" s="290"/>
      <c r="N168" s="290"/>
      <c r="O168" s="100"/>
    </row>
    <row r="169" spans="1:16" s="59" customFormat="1" x14ac:dyDescent="0.3">
      <c r="A169" s="134" t="str">
        <f>VLOOKUP(WEEKDAY(B169),Data!$A$2:$B$8,2)</f>
        <v>Wednesday</v>
      </c>
      <c r="B169" s="130">
        <f t="shared" si="11"/>
        <v>43264</v>
      </c>
      <c r="C169" s="108"/>
      <c r="D169" s="102"/>
      <c r="E169" s="102"/>
      <c r="F169" s="108"/>
      <c r="G169" s="102"/>
      <c r="H169" s="102"/>
      <c r="I169" s="102"/>
      <c r="J169" s="72">
        <f t="shared" si="12"/>
        <v>3761070.9000000004</v>
      </c>
      <c r="K169" s="213"/>
      <c r="L169" s="55"/>
      <c r="M169"/>
      <c r="N169"/>
      <c r="O169" s="100"/>
    </row>
    <row r="170" spans="1:16" s="59" customFormat="1" x14ac:dyDescent="0.3">
      <c r="A170" s="134" t="str">
        <f>VLOOKUP(WEEKDAY(B170),Data!$A$2:$B$8,2)</f>
        <v>Thursday</v>
      </c>
      <c r="B170" s="130">
        <f t="shared" si="11"/>
        <v>43265</v>
      </c>
      <c r="C170" s="108"/>
      <c r="D170" s="102"/>
      <c r="E170" s="102"/>
      <c r="F170" s="108"/>
      <c r="G170" s="102"/>
      <c r="H170" s="102">
        <f>Data!$I$40</f>
        <v>8000</v>
      </c>
      <c r="I170" s="102">
        <f>Data!$I$47</f>
        <v>53000</v>
      </c>
      <c r="J170" s="72">
        <f>J169+SUM(C170:E170)-SUM(F170:I170)</f>
        <v>3700070.9000000004</v>
      </c>
      <c r="K170" s="213"/>
      <c r="L170" s="162" t="s">
        <v>235</v>
      </c>
      <c r="M170" s="219"/>
      <c r="N170" s="219"/>
      <c r="O170" s="100"/>
    </row>
    <row r="171" spans="1:16" s="59" customFormat="1" x14ac:dyDescent="0.3">
      <c r="A171" s="134" t="str">
        <f>VLOOKUP(WEEKDAY(B171),Data!$A$2:$B$8,2)</f>
        <v>Friday</v>
      </c>
      <c r="B171" s="130">
        <f t="shared" si="11"/>
        <v>43266</v>
      </c>
      <c r="C171" s="108"/>
      <c r="D171" s="102">
        <f>Data!$C$31</f>
        <v>154676</v>
      </c>
      <c r="E171" s="138">
        <f>Data!$D$43</f>
        <v>6000</v>
      </c>
      <c r="F171" s="108"/>
      <c r="G171" s="102"/>
      <c r="J171" s="72">
        <f t="shared" si="12"/>
        <v>3860746.9000000004</v>
      </c>
      <c r="K171" s="255"/>
      <c r="L171" s="153" t="s">
        <v>82</v>
      </c>
      <c r="M171" s="154" t="s">
        <v>165</v>
      </c>
      <c r="N171" s="155" t="s">
        <v>83</v>
      </c>
    </row>
    <row r="172" spans="1:16" s="59" customFormat="1" x14ac:dyDescent="0.3">
      <c r="A172" s="234" t="str">
        <f>VLOOKUP(WEEKDAY(B172),Data!$A$2:$B$8,2)</f>
        <v>Saturday</v>
      </c>
      <c r="B172" s="235">
        <f t="shared" si="11"/>
        <v>43267</v>
      </c>
      <c r="C172" s="236"/>
      <c r="D172" s="237"/>
      <c r="E172" s="237"/>
      <c r="F172" s="236"/>
      <c r="G172" s="237"/>
      <c r="H172" s="233"/>
      <c r="I172" s="146"/>
      <c r="J172" s="238">
        <f t="shared" si="12"/>
        <v>3860746.9000000004</v>
      </c>
      <c r="K172" s="213"/>
      <c r="L172" s="156">
        <v>2799515</v>
      </c>
      <c r="M172" s="157">
        <f>743683.01-78474.52</f>
        <v>665208.49</v>
      </c>
      <c r="N172" s="158">
        <f>L172-M172</f>
        <v>2134306.5099999998</v>
      </c>
    </row>
    <row r="173" spans="1:16" s="59" customFormat="1" x14ac:dyDescent="0.3">
      <c r="A173" s="135" t="str">
        <f>VLOOKUP(WEEKDAY(B173),Data!$A$2:$B$8,2)</f>
        <v>Sunday</v>
      </c>
      <c r="B173" s="136">
        <f t="shared" si="11"/>
        <v>43268</v>
      </c>
      <c r="C173" s="137"/>
      <c r="D173" s="138"/>
      <c r="E173" s="73"/>
      <c r="F173" s="150"/>
      <c r="G173" s="138"/>
      <c r="H173" s="138"/>
      <c r="I173" s="138"/>
      <c r="J173" s="141">
        <f t="shared" si="12"/>
        <v>3860746.9000000004</v>
      </c>
      <c r="K173" s="255"/>
      <c r="L173" s="163"/>
      <c r="M173" s="89"/>
      <c r="N173" s="163"/>
    </row>
    <row r="174" spans="1:16" s="59" customFormat="1" x14ac:dyDescent="0.3">
      <c r="A174" s="135" t="str">
        <f>VLOOKUP(WEEKDAY(B174),Data!$A$2:$B$8,2)</f>
        <v>Monday</v>
      </c>
      <c r="B174" s="136">
        <f t="shared" si="11"/>
        <v>43269</v>
      </c>
      <c r="C174" s="137"/>
      <c r="D174" s="138"/>
      <c r="E174" s="138"/>
      <c r="F174" s="137"/>
      <c r="G174" s="138"/>
      <c r="H174" s="138"/>
      <c r="I174" s="79"/>
      <c r="J174" s="141">
        <f t="shared" si="12"/>
        <v>3860746.9000000004</v>
      </c>
      <c r="K174" s="213"/>
      <c r="L174" s="162" t="s">
        <v>236</v>
      </c>
      <c r="M174" s="221"/>
      <c r="N174" s="221"/>
    </row>
    <row r="175" spans="1:16" s="59" customFormat="1" x14ac:dyDescent="0.3">
      <c r="A175" s="129" t="str">
        <f>VLOOKUP(WEEKDAY(B175),Data!$A$2:$B$8,2)</f>
        <v>Tuesday</v>
      </c>
      <c r="B175" s="130">
        <f t="shared" ref="B175:B186" si="13">B174+1</f>
        <v>43270</v>
      </c>
      <c r="C175" s="108"/>
      <c r="D175" s="102"/>
      <c r="E175" s="102"/>
      <c r="F175" s="108"/>
      <c r="G175" s="102"/>
      <c r="H175" s="102"/>
      <c r="I175" s="73"/>
      <c r="J175" s="72">
        <f t="shared" si="12"/>
        <v>3860746.9000000004</v>
      </c>
      <c r="K175" s="213"/>
      <c r="L175" s="153" t="s">
        <v>82</v>
      </c>
      <c r="M175" s="154" t="s">
        <v>165</v>
      </c>
      <c r="N175" s="155" t="s">
        <v>83</v>
      </c>
    </row>
    <row r="176" spans="1:16" s="59" customFormat="1" x14ac:dyDescent="0.3">
      <c r="A176" s="134" t="str">
        <f>VLOOKUP(WEEKDAY(B176),Data!$A$2:$B$8,2)</f>
        <v>Wednesday</v>
      </c>
      <c r="B176" s="130">
        <f t="shared" si="13"/>
        <v>43271</v>
      </c>
      <c r="C176" s="108">
        <f>Data!$D$11</f>
        <v>1576000</v>
      </c>
      <c r="D176" s="102"/>
      <c r="E176" s="102"/>
      <c r="F176" s="108"/>
      <c r="G176" s="102"/>
      <c r="H176" s="102"/>
      <c r="I176" s="102"/>
      <c r="J176" s="72">
        <f t="shared" si="12"/>
        <v>5436746.9000000004</v>
      </c>
      <c r="K176" s="213"/>
      <c r="L176" s="156">
        <v>2924273</v>
      </c>
      <c r="M176" s="157">
        <f>795456.71-109526.97</f>
        <v>685929.74</v>
      </c>
      <c r="N176" s="158">
        <f>L176-M176</f>
        <v>2238343.2599999998</v>
      </c>
    </row>
    <row r="177" spans="1:15" s="59" customFormat="1" x14ac:dyDescent="0.3">
      <c r="A177" s="134" t="str">
        <f>VLOOKUP(WEEKDAY(B177),Data!$A$2:$B$8,2)</f>
        <v>Thursday</v>
      </c>
      <c r="B177" s="130">
        <f t="shared" si="13"/>
        <v>43272</v>
      </c>
      <c r="C177" s="108"/>
      <c r="D177" s="102"/>
      <c r="E177" s="102"/>
      <c r="F177" s="108">
        <f>Data!$I$24</f>
        <v>671000</v>
      </c>
      <c r="G177" s="102"/>
      <c r="H177" s="102">
        <f>Data!$I$40</f>
        <v>8000</v>
      </c>
      <c r="I177" s="102">
        <f>Data!$I$47</f>
        <v>53000</v>
      </c>
      <c r="J177" s="72">
        <f>J176+SUM(C177:E177)-SUM(F177:I177)</f>
        <v>4704746.9000000004</v>
      </c>
      <c r="K177" s="213"/>
      <c r="L177" s="55"/>
      <c r="M177"/>
      <c r="N177"/>
    </row>
    <row r="178" spans="1:15" s="59" customFormat="1" x14ac:dyDescent="0.3">
      <c r="A178" s="135" t="str">
        <f>VLOOKUP(WEEKDAY(B178),Data!$A$2:$B$8,2)</f>
        <v>Friday</v>
      </c>
      <c r="B178" s="136">
        <f t="shared" si="13"/>
        <v>43273</v>
      </c>
      <c r="C178" s="137"/>
      <c r="D178" s="79"/>
      <c r="E178" s="138">
        <f>Data!$D$43</f>
        <v>6000</v>
      </c>
      <c r="F178" s="137"/>
      <c r="G178" s="138"/>
      <c r="J178" s="141">
        <f t="shared" si="12"/>
        <v>4710746.9000000004</v>
      </c>
      <c r="K178" s="213"/>
      <c r="L178" s="162" t="s">
        <v>240</v>
      </c>
      <c r="M178"/>
      <c r="N178"/>
    </row>
    <row r="179" spans="1:15" s="59" customFormat="1" x14ac:dyDescent="0.3">
      <c r="A179" s="230" t="str">
        <f>VLOOKUP(WEEKDAY(B179),Data!$A$2:$B$8,2)</f>
        <v>Saturday</v>
      </c>
      <c r="B179" s="231">
        <f t="shared" si="13"/>
        <v>43274</v>
      </c>
      <c r="C179" s="239"/>
      <c r="D179" s="146"/>
      <c r="E179" s="233"/>
      <c r="F179" s="232"/>
      <c r="G179" s="146"/>
      <c r="H179" s="146"/>
      <c r="I179" s="233"/>
      <c r="J179" s="86">
        <f t="shared" si="12"/>
        <v>4710746.9000000004</v>
      </c>
      <c r="K179" s="213"/>
      <c r="L179" s="153" t="s">
        <v>82</v>
      </c>
      <c r="M179" s="154" t="s">
        <v>165</v>
      </c>
      <c r="N179" s="155" t="s">
        <v>83</v>
      </c>
    </row>
    <row r="180" spans="1:15" s="59" customFormat="1" x14ac:dyDescent="0.3">
      <c r="A180" s="129" t="str">
        <f>VLOOKUP(WEEKDAY(B180),Data!$A$2:$B$8,2)</f>
        <v>Sunday</v>
      </c>
      <c r="B180" s="130">
        <f t="shared" si="13"/>
        <v>43275</v>
      </c>
      <c r="C180" s="108"/>
      <c r="D180" s="102"/>
      <c r="E180" s="102"/>
      <c r="F180" s="74"/>
      <c r="G180" s="73"/>
      <c r="H180" s="102"/>
      <c r="I180" s="102"/>
      <c r="J180" s="72">
        <f t="shared" si="12"/>
        <v>4710746.9000000004</v>
      </c>
      <c r="K180" s="255"/>
      <c r="L180" s="156">
        <v>3093200</v>
      </c>
      <c r="M180" s="157">
        <f>988413.11-156066.81</f>
        <v>832346.3</v>
      </c>
      <c r="N180" s="158">
        <f>L180-M180</f>
        <v>2260853.7000000002</v>
      </c>
    </row>
    <row r="181" spans="1:15" s="59" customFormat="1" x14ac:dyDescent="0.3">
      <c r="A181" s="129" t="str">
        <f>VLOOKUP(WEEKDAY(B181),Data!$A$2:$B$8,2)</f>
        <v>Monday</v>
      </c>
      <c r="B181" s="130">
        <f t="shared" si="13"/>
        <v>43276</v>
      </c>
      <c r="C181" s="108"/>
      <c r="D181" s="102"/>
      <c r="E181" s="73"/>
      <c r="F181" s="74"/>
      <c r="G181" s="102"/>
      <c r="H181" s="102"/>
      <c r="I181" s="73"/>
      <c r="J181" s="227">
        <f t="shared" si="12"/>
        <v>4710746.9000000004</v>
      </c>
      <c r="K181" s="255"/>
      <c r="L181" s="92"/>
      <c r="M181" s="100"/>
    </row>
    <row r="182" spans="1:15" s="59" customFormat="1" x14ac:dyDescent="0.3">
      <c r="A182" s="135" t="str">
        <f>VLOOKUP(WEEKDAY(B182),Data!$A$2:$B$8,2)</f>
        <v>Tuesday</v>
      </c>
      <c r="B182" s="136">
        <f t="shared" si="13"/>
        <v>43277</v>
      </c>
      <c r="C182" s="137"/>
      <c r="D182" s="138"/>
      <c r="E182" s="102"/>
      <c r="F182" s="137"/>
      <c r="G182" s="138"/>
      <c r="H182" s="102"/>
      <c r="I182" s="73"/>
      <c r="J182" s="141">
        <f t="shared" si="12"/>
        <v>4710746.9000000004</v>
      </c>
      <c r="K182" s="213"/>
      <c r="L182" s="162" t="s">
        <v>241</v>
      </c>
      <c r="M182" s="225"/>
      <c r="N182" s="225"/>
    </row>
    <row r="183" spans="1:15" s="59" customFormat="1" x14ac:dyDescent="0.3">
      <c r="A183" s="134" t="str">
        <f>VLOOKUP(WEEKDAY(B183),Data!$A$2:$B$8,2)</f>
        <v>Wednesday</v>
      </c>
      <c r="B183" s="130">
        <f t="shared" si="13"/>
        <v>43278</v>
      </c>
      <c r="C183" s="108"/>
      <c r="D183" s="102"/>
      <c r="E183" s="102"/>
      <c r="F183" s="108"/>
      <c r="G183" s="102"/>
      <c r="H183" s="102"/>
      <c r="I183" s="102"/>
      <c r="J183" s="72">
        <f t="shared" si="12"/>
        <v>4710746.9000000004</v>
      </c>
      <c r="K183" s="213"/>
      <c r="L183" s="153" t="s">
        <v>82</v>
      </c>
      <c r="M183" s="154" t="s">
        <v>165</v>
      </c>
      <c r="N183" s="155" t="s">
        <v>83</v>
      </c>
    </row>
    <row r="184" spans="1:15" s="59" customFormat="1" x14ac:dyDescent="0.3">
      <c r="A184" s="134" t="str">
        <f>VLOOKUP(WEEKDAY(B184),Data!$A$2:$B$8,2)</f>
        <v>Thursday</v>
      </c>
      <c r="B184" s="130">
        <f t="shared" si="13"/>
        <v>43279</v>
      </c>
      <c r="C184" s="108"/>
      <c r="D184" s="102"/>
      <c r="E184" s="102"/>
      <c r="F184" s="108"/>
      <c r="G184" s="138">
        <f>Data!$I$31</f>
        <v>190000</v>
      </c>
      <c r="H184" s="102">
        <f>Data!$I$40</f>
        <v>8000</v>
      </c>
      <c r="I184" s="102">
        <f>Data!$I$47</f>
        <v>53000</v>
      </c>
      <c r="J184" s="72">
        <f>J183+SUM(C184:E184)-SUM(F184:I184)</f>
        <v>4459746.9000000004</v>
      </c>
      <c r="K184" s="14"/>
      <c r="L184" s="156">
        <v>3257115</v>
      </c>
      <c r="M184" s="157">
        <f>1096026.9-301804.73</f>
        <v>794222.16999999993</v>
      </c>
      <c r="N184" s="158">
        <f>L184-M184</f>
        <v>2462892.83</v>
      </c>
    </row>
    <row r="185" spans="1:15" s="59" customFormat="1" x14ac:dyDescent="0.3">
      <c r="A185" s="129" t="str">
        <f>VLOOKUP(WEEKDAY(B185),Data!$A$2:$B$8,2)</f>
        <v>Friday</v>
      </c>
      <c r="B185" s="130">
        <f t="shared" si="13"/>
        <v>43280</v>
      </c>
      <c r="C185" s="108"/>
      <c r="D185" s="102"/>
      <c r="E185" s="138">
        <f>Data!$D$43</f>
        <v>6000</v>
      </c>
      <c r="F185" s="108"/>
      <c r="J185" s="72">
        <f t="shared" si="12"/>
        <v>4465746.9000000004</v>
      </c>
      <c r="K185" s="213"/>
      <c r="L185" s="92"/>
    </row>
    <row r="186" spans="1:15" s="59" customFormat="1" x14ac:dyDescent="0.3">
      <c r="A186" s="134" t="str">
        <f>VLOOKUP(WEEKDAY(B186),Data!$A$2:$B$8,2)</f>
        <v>Saturday</v>
      </c>
      <c r="B186" s="130">
        <f t="shared" si="13"/>
        <v>43281</v>
      </c>
      <c r="C186" s="108"/>
      <c r="D186" s="102"/>
      <c r="E186" s="73"/>
      <c r="F186" s="108"/>
      <c r="G186" s="102"/>
      <c r="H186" s="102"/>
      <c r="I186" s="73"/>
      <c r="J186" s="72">
        <f t="shared" si="12"/>
        <v>4465746.9000000004</v>
      </c>
      <c r="K186" s="213"/>
      <c r="L186" s="162" t="s">
        <v>242</v>
      </c>
      <c r="M186" s="226"/>
      <c r="N186" s="226"/>
    </row>
    <row r="187" spans="1:15" s="59" customFormat="1" x14ac:dyDescent="0.3">
      <c r="A187" s="131"/>
      <c r="B187" s="132"/>
      <c r="C187" s="103">
        <f t="shared" ref="C187:I187" si="14">SUM(C6:C186)</f>
        <v>9894000</v>
      </c>
      <c r="D187" s="133">
        <f t="shared" si="14"/>
        <v>3221528</v>
      </c>
      <c r="E187" s="133">
        <f t="shared" si="14"/>
        <v>156000</v>
      </c>
      <c r="F187" s="103">
        <f t="shared" si="14"/>
        <v>8052000</v>
      </c>
      <c r="G187" s="133">
        <f t="shared" si="14"/>
        <v>1140000</v>
      </c>
      <c r="H187" s="133">
        <f t="shared" si="14"/>
        <v>208000</v>
      </c>
      <c r="I187" s="133">
        <f t="shared" si="14"/>
        <v>1378000</v>
      </c>
      <c r="J187" s="302">
        <f>MIN(J6:J186)</f>
        <v>538218.89999999991</v>
      </c>
      <c r="K187" s="213"/>
      <c r="L187" s="153" t="s">
        <v>82</v>
      </c>
      <c r="M187" s="154" t="s">
        <v>165</v>
      </c>
      <c r="N187" s="155" t="s">
        <v>83</v>
      </c>
    </row>
    <row r="188" spans="1:15" s="59" customFormat="1" x14ac:dyDescent="0.3">
      <c r="A188" s="129"/>
      <c r="B188" s="130"/>
      <c r="C188" s="304">
        <f>SUM(C187:E187)</f>
        <v>13271528</v>
      </c>
      <c r="D188" s="305"/>
      <c r="E188" s="306"/>
      <c r="F188" s="304">
        <f>SUM(F187:I187)</f>
        <v>10778000</v>
      </c>
      <c r="G188" s="305"/>
      <c r="H188" s="305"/>
      <c r="I188" s="306"/>
      <c r="J188" s="303"/>
      <c r="K188" s="213"/>
      <c r="L188" s="156">
        <v>2405008</v>
      </c>
      <c r="M188" s="157">
        <f>379117.07-153055</f>
        <v>226062.07</v>
      </c>
      <c r="N188" s="158">
        <f>L188-M188</f>
        <v>2178945.9300000002</v>
      </c>
    </row>
    <row r="189" spans="1:15" s="59" customFormat="1" x14ac:dyDescent="0.3">
      <c r="A189" s="307" t="s">
        <v>268</v>
      </c>
      <c r="B189" s="308"/>
      <c r="C189" s="308"/>
      <c r="D189" s="308"/>
      <c r="E189" s="308"/>
      <c r="F189" s="308"/>
      <c r="G189" s="308"/>
      <c r="H189" s="308"/>
      <c r="I189" s="309"/>
      <c r="J189" s="69">
        <f>J186</f>
        <v>4465746.9000000004</v>
      </c>
      <c r="K189" s="255"/>
      <c r="L189" s="92"/>
    </row>
    <row r="190" spans="1:15" x14ac:dyDescent="0.3">
      <c r="A190" s="131" t="str">
        <f>VLOOKUP(WEEKDAY(B190),Data!$A$2:$B$8,2)</f>
        <v>Sunday</v>
      </c>
      <c r="B190" s="240">
        <v>43282</v>
      </c>
      <c r="C190" s="103"/>
      <c r="D190" s="133"/>
      <c r="E190" s="133"/>
      <c r="F190" s="140"/>
      <c r="G190" s="133"/>
      <c r="H190" s="133"/>
      <c r="I190" s="133"/>
      <c r="J190" s="81">
        <f t="shared" ref="J190:J250" si="15">J189+SUM(C190:E190)-SUM(F190:I190)</f>
        <v>4465746.9000000004</v>
      </c>
      <c r="K190" s="256"/>
      <c r="M190" s="59"/>
      <c r="N190" s="59"/>
      <c r="O190" s="59"/>
    </row>
    <row r="191" spans="1:15" x14ac:dyDescent="0.3">
      <c r="A191" s="134" t="str">
        <f>VLOOKUP(WEEKDAY(B191),Data!$A$2:$B$8,2)</f>
        <v>Monday</v>
      </c>
      <c r="B191" s="130">
        <f t="shared" ref="B191:B254" si="16">B190+1</f>
        <v>43283</v>
      </c>
      <c r="C191" s="108"/>
      <c r="D191" s="102"/>
      <c r="E191" s="102"/>
      <c r="F191" s="108"/>
      <c r="G191" s="102"/>
      <c r="H191" s="102"/>
      <c r="I191" s="102"/>
      <c r="J191" s="72">
        <f t="shared" si="15"/>
        <v>4465746.9000000004</v>
      </c>
      <c r="L191" s="229"/>
      <c r="M191" s="229"/>
      <c r="N191" s="229"/>
    </row>
    <row r="192" spans="1:15" x14ac:dyDescent="0.3">
      <c r="A192" s="134" t="str">
        <f>VLOOKUP(WEEKDAY(B192),Data!$A$2:$B$8,2)</f>
        <v>Tuesday</v>
      </c>
      <c r="B192" s="130">
        <f t="shared" si="16"/>
        <v>43284</v>
      </c>
      <c r="C192" s="108"/>
      <c r="D192" s="102"/>
      <c r="E192" s="102"/>
      <c r="F192" s="108"/>
      <c r="G192" s="102"/>
      <c r="H192" s="102"/>
      <c r="I192" s="102"/>
      <c r="J192" s="72">
        <f t="shared" si="15"/>
        <v>4465746.9000000004</v>
      </c>
    </row>
    <row r="193" spans="1:17" x14ac:dyDescent="0.3">
      <c r="A193" s="129" t="str">
        <f>VLOOKUP(WEEKDAY(B193),Data!$A$2:$B$8,2)</f>
        <v>Wednesday</v>
      </c>
      <c r="B193" s="130">
        <f t="shared" si="16"/>
        <v>43285</v>
      </c>
      <c r="C193" s="108"/>
      <c r="D193" s="102"/>
      <c r="E193" s="102"/>
      <c r="F193" s="108"/>
      <c r="G193" s="102"/>
      <c r="H193" s="102"/>
      <c r="I193" s="102"/>
      <c r="J193" s="72">
        <f t="shared" si="15"/>
        <v>4465746.9000000004</v>
      </c>
      <c r="K193" s="257"/>
      <c r="L193" s="58"/>
    </row>
    <row r="194" spans="1:17" x14ac:dyDescent="0.3">
      <c r="A194" s="142" t="str">
        <f>VLOOKUP(WEEKDAY(B194),Data!$A$2:$B$8,2)</f>
        <v>Thursday</v>
      </c>
      <c r="B194" s="136">
        <f t="shared" si="16"/>
        <v>43286</v>
      </c>
      <c r="C194" s="137"/>
      <c r="D194" s="138"/>
      <c r="E194" s="138"/>
      <c r="F194" s="137"/>
      <c r="G194" s="138"/>
      <c r="H194" s="102">
        <f>Data!$I$41</f>
        <v>8000</v>
      </c>
      <c r="I194" s="102">
        <f>Data!$I$52</f>
        <v>53000</v>
      </c>
      <c r="J194" s="141">
        <f>J193+SUM(C194:E194)-SUM(F194:I194)</f>
        <v>4404746.9000000004</v>
      </c>
      <c r="L194" s="162" t="s">
        <v>244</v>
      </c>
      <c r="M194" s="163"/>
      <c r="N194" s="163"/>
    </row>
    <row r="195" spans="1:17" x14ac:dyDescent="0.3">
      <c r="A195" s="129" t="str">
        <f>VLOOKUP(WEEKDAY(B195),Data!$A$2:$B$8,2)</f>
        <v>Friday</v>
      </c>
      <c r="B195" s="130">
        <f t="shared" si="16"/>
        <v>43287</v>
      </c>
      <c r="C195" s="108"/>
      <c r="D195" s="102"/>
      <c r="E195" s="102">
        <f>Data!$D$44</f>
        <v>6000</v>
      </c>
      <c r="F195" s="108">
        <f>Data!$I$24</f>
        <v>671000</v>
      </c>
      <c r="G195" s="102"/>
      <c r="J195" s="72">
        <f>J194+SUM(C195:E195)-SUM(F195:I195)</f>
        <v>3739746.9000000004</v>
      </c>
      <c r="L195" s="153" t="s">
        <v>82</v>
      </c>
      <c r="M195" s="154" t="s">
        <v>165</v>
      </c>
      <c r="N195" s="155" t="s">
        <v>83</v>
      </c>
    </row>
    <row r="196" spans="1:17" x14ac:dyDescent="0.3">
      <c r="A196" s="234" t="str">
        <f>VLOOKUP(WEEKDAY(B196),Data!$A$2:$B$8,2)</f>
        <v>Saturday</v>
      </c>
      <c r="B196" s="235">
        <f t="shared" si="16"/>
        <v>43288</v>
      </c>
      <c r="C196" s="236"/>
      <c r="D196" s="237"/>
      <c r="E196" s="146"/>
      <c r="F196" s="246"/>
      <c r="G196" s="247"/>
      <c r="H196" s="146"/>
      <c r="I196" s="146"/>
      <c r="J196" s="248">
        <f t="shared" si="15"/>
        <v>3739746.9000000004</v>
      </c>
      <c r="L196" s="156">
        <v>2390870</v>
      </c>
      <c r="M196" s="157">
        <f>211612.63+131063.1-9.96-37828.56</f>
        <v>304837.20999999996</v>
      </c>
      <c r="N196" s="158">
        <f>L196-M196</f>
        <v>2086032.79</v>
      </c>
    </row>
    <row r="197" spans="1:17" x14ac:dyDescent="0.3">
      <c r="A197" s="134" t="str">
        <f>VLOOKUP(WEEKDAY(B197),Data!$A$2:$B$8,2)</f>
        <v>Sunday</v>
      </c>
      <c r="B197" s="130">
        <f t="shared" si="16"/>
        <v>43289</v>
      </c>
      <c r="C197" s="108"/>
      <c r="D197" s="102"/>
      <c r="E197" s="102"/>
      <c r="F197" s="108"/>
      <c r="G197" s="102"/>
      <c r="H197" s="241"/>
      <c r="I197" s="241"/>
      <c r="J197" s="72">
        <f t="shared" si="15"/>
        <v>3739746.9000000004</v>
      </c>
      <c r="Q197" s="59"/>
    </row>
    <row r="198" spans="1:17" x14ac:dyDescent="0.3">
      <c r="A198" s="134" t="str">
        <f>VLOOKUP(WEEKDAY(B198),Data!$A$2:$B$8,2)</f>
        <v>Monday</v>
      </c>
      <c r="B198" s="130">
        <f t="shared" si="16"/>
        <v>43290</v>
      </c>
      <c r="C198" s="108"/>
      <c r="D198" s="102"/>
      <c r="E198" s="102"/>
      <c r="F198" s="108"/>
      <c r="G198" s="102"/>
      <c r="H198" s="102"/>
      <c r="I198" s="102"/>
      <c r="J198" s="72">
        <f>J197+SUM(C198:E198)-SUM(F198:I198)</f>
        <v>3739746.9000000004</v>
      </c>
      <c r="K198" s="258"/>
      <c r="L198" s="163"/>
      <c r="N198" s="58"/>
      <c r="P198" s="59"/>
      <c r="Q198" s="59"/>
    </row>
    <row r="199" spans="1:17" x14ac:dyDescent="0.3">
      <c r="A199" s="134" t="str">
        <f>VLOOKUP(WEEKDAY(B199),Data!$A$2:$B$8,2)</f>
        <v>Tuesday</v>
      </c>
      <c r="B199" s="130">
        <f t="shared" si="16"/>
        <v>43291</v>
      </c>
      <c r="C199" s="108">
        <f>Data!$D$15</f>
        <v>73000</v>
      </c>
      <c r="D199" s="102"/>
      <c r="E199" s="102"/>
      <c r="F199" s="108"/>
      <c r="G199" s="102"/>
      <c r="H199" s="73"/>
      <c r="I199" s="102"/>
      <c r="J199" s="72">
        <f>J198+SUM(C199:E199)-SUM(F199:I199)</f>
        <v>3812746.9000000004</v>
      </c>
      <c r="L199" s="163"/>
      <c r="O199" s="58"/>
      <c r="P199" s="59"/>
      <c r="Q199" s="59"/>
    </row>
    <row r="200" spans="1:17" x14ac:dyDescent="0.3">
      <c r="A200" s="134" t="str">
        <f>VLOOKUP(WEEKDAY(B200),Data!$A$2:$B$8,2)</f>
        <v>Wednesday</v>
      </c>
      <c r="B200" s="130">
        <f t="shared" si="16"/>
        <v>43292</v>
      </c>
      <c r="C200" s="108"/>
      <c r="D200" s="102"/>
      <c r="E200" s="241"/>
      <c r="F200" s="108"/>
      <c r="G200" s="102"/>
      <c r="H200" s="241"/>
      <c r="I200" s="241"/>
      <c r="J200" s="72">
        <f t="shared" si="15"/>
        <v>3812746.9000000004</v>
      </c>
      <c r="K200" s="256"/>
      <c r="L200" s="163"/>
      <c r="P200" s="59"/>
      <c r="Q200" s="59"/>
    </row>
    <row r="201" spans="1:17" x14ac:dyDescent="0.3">
      <c r="A201" s="134" t="str">
        <f>VLOOKUP(WEEKDAY(B201),Data!$A$2:$B$8,2)</f>
        <v>Thursday</v>
      </c>
      <c r="B201" s="130">
        <f t="shared" si="16"/>
        <v>43293</v>
      </c>
      <c r="C201" s="108"/>
      <c r="D201" s="102"/>
      <c r="E201" s="102"/>
      <c r="F201" s="108"/>
      <c r="G201" s="102"/>
      <c r="H201" s="102">
        <f>Data!$I$41</f>
        <v>8000</v>
      </c>
      <c r="I201" s="102">
        <f>Data!$I$52</f>
        <v>53000</v>
      </c>
      <c r="J201" s="72">
        <f>J200+SUM(C201:E201)-SUM(F201:I201)</f>
        <v>3751746.9000000004</v>
      </c>
      <c r="L201" s="162" t="s">
        <v>245</v>
      </c>
      <c r="M201" s="163"/>
      <c r="N201" s="163"/>
      <c r="P201" s="59"/>
      <c r="Q201" s="59"/>
    </row>
    <row r="202" spans="1:17" x14ac:dyDescent="0.3">
      <c r="A202" s="134" t="str">
        <f>VLOOKUP(WEEKDAY(B202),Data!$A$2:$B$8,2)</f>
        <v>Friday</v>
      </c>
      <c r="B202" s="130">
        <f t="shared" si="16"/>
        <v>43294</v>
      </c>
      <c r="C202" s="108"/>
      <c r="D202" s="102"/>
      <c r="E202" s="102">
        <f>Data!$D$44</f>
        <v>6000</v>
      </c>
      <c r="F202" s="108"/>
      <c r="G202" s="102"/>
      <c r="J202" s="72">
        <f>J201+SUM(C202:E202)-SUM(F202:I202)</f>
        <v>3757746.9000000004</v>
      </c>
      <c r="L202" s="153" t="s">
        <v>82</v>
      </c>
      <c r="M202" s="154" t="s">
        <v>165</v>
      </c>
      <c r="N202" s="155" t="s">
        <v>83</v>
      </c>
      <c r="O202" s="59"/>
      <c r="P202" s="59"/>
      <c r="Q202" s="59"/>
    </row>
    <row r="203" spans="1:17" x14ac:dyDescent="0.3">
      <c r="A203" s="230" t="str">
        <f>VLOOKUP(WEEKDAY(B203),Data!$A$2:$B$8,2)</f>
        <v>Saturday</v>
      </c>
      <c r="B203" s="231">
        <f t="shared" si="16"/>
        <v>43295</v>
      </c>
      <c r="C203" s="232"/>
      <c r="D203" s="146"/>
      <c r="E203" s="146"/>
      <c r="F203" s="232"/>
      <c r="G203" s="146"/>
      <c r="H203" s="146"/>
      <c r="I203" s="146"/>
      <c r="J203" s="86">
        <f t="shared" si="15"/>
        <v>3757746.9000000004</v>
      </c>
      <c r="L203" s="156">
        <v>3251285</v>
      </c>
      <c r="M203" s="157">
        <f>218316.27+646516.08-7528.95-51757.08</f>
        <v>805546.32000000007</v>
      </c>
      <c r="N203" s="158">
        <f>L203-M203</f>
        <v>2445738.6799999997</v>
      </c>
      <c r="O203" s="59"/>
      <c r="P203" s="59"/>
      <c r="Q203" s="59"/>
    </row>
    <row r="204" spans="1:17" x14ac:dyDescent="0.3">
      <c r="A204" s="134" t="str">
        <f>VLOOKUP(WEEKDAY(B204),Data!$A$2:$B$8,2)</f>
        <v>Sunday</v>
      </c>
      <c r="B204" s="136">
        <f t="shared" si="16"/>
        <v>43296</v>
      </c>
      <c r="C204" s="137"/>
      <c r="D204" s="138"/>
      <c r="E204" s="138"/>
      <c r="F204" s="137"/>
      <c r="G204" s="138"/>
      <c r="H204" s="242"/>
      <c r="I204" s="242"/>
      <c r="J204" s="141">
        <f t="shared" si="15"/>
        <v>3757746.9000000004</v>
      </c>
      <c r="L204" s="163"/>
      <c r="N204" s="59"/>
      <c r="O204" s="59"/>
      <c r="P204" s="59"/>
      <c r="Q204" s="59"/>
    </row>
    <row r="205" spans="1:17" x14ac:dyDescent="0.3">
      <c r="A205" s="134" t="str">
        <f>VLOOKUP(WEEKDAY(B205),Data!$A$2:$B$8,2)</f>
        <v>Monday</v>
      </c>
      <c r="B205" s="130">
        <f t="shared" si="16"/>
        <v>43297</v>
      </c>
      <c r="C205" s="108"/>
      <c r="D205" s="102"/>
      <c r="E205" s="102"/>
      <c r="F205" s="108"/>
      <c r="G205" s="102"/>
      <c r="H205" s="102"/>
      <c r="I205" s="102"/>
      <c r="J205" s="72">
        <f>J204+SUM(C205:E205)-SUM(F205:I205)</f>
        <v>3757746.9000000004</v>
      </c>
      <c r="K205" s="255"/>
      <c r="O205" s="59"/>
      <c r="P205" s="59"/>
      <c r="Q205" s="59"/>
    </row>
    <row r="206" spans="1:17" x14ac:dyDescent="0.3">
      <c r="A206" s="134" t="str">
        <f>VLOOKUP(WEEKDAY(B206),Data!$A$2:$B$8,2)</f>
        <v>Tuesday</v>
      </c>
      <c r="B206" s="130">
        <f t="shared" si="16"/>
        <v>43298</v>
      </c>
      <c r="C206" s="108"/>
      <c r="D206" s="102"/>
      <c r="E206" s="102"/>
      <c r="F206" s="108"/>
      <c r="G206" s="102"/>
      <c r="H206" s="102"/>
      <c r="I206" s="102"/>
      <c r="J206" s="72">
        <f>J205+SUM(C206:E206)-SUM(F206:I206)</f>
        <v>3757746.9000000004</v>
      </c>
      <c r="O206" s="59"/>
      <c r="P206" s="59"/>
      <c r="Q206" s="59"/>
    </row>
    <row r="207" spans="1:17" x14ac:dyDescent="0.3">
      <c r="A207" s="129" t="str">
        <f>VLOOKUP(WEEKDAY(B207),Data!$A$2:$B$8,2)</f>
        <v>Wednesday</v>
      </c>
      <c r="B207" s="130">
        <f t="shared" si="16"/>
        <v>43299</v>
      </c>
      <c r="C207" s="108"/>
      <c r="D207" s="102"/>
      <c r="E207" s="139"/>
      <c r="F207" s="108"/>
      <c r="G207" s="102"/>
      <c r="H207" s="139"/>
      <c r="I207" s="139"/>
      <c r="J207" s="72">
        <f t="shared" si="15"/>
        <v>3757746.9000000004</v>
      </c>
      <c r="O207" s="59"/>
      <c r="P207" s="59"/>
    </row>
    <row r="208" spans="1:17" x14ac:dyDescent="0.3">
      <c r="A208" s="134" t="str">
        <f>VLOOKUP(WEEKDAY(B208),Data!$A$2:$B$8,2)</f>
        <v>Thursday</v>
      </c>
      <c r="B208" s="130">
        <f t="shared" si="16"/>
        <v>43300</v>
      </c>
      <c r="C208" s="108"/>
      <c r="D208" s="102"/>
      <c r="E208" s="73"/>
      <c r="F208" s="108"/>
      <c r="G208" s="102"/>
      <c r="H208" s="102">
        <f>Data!$I$41</f>
        <v>8000</v>
      </c>
      <c r="I208" s="102">
        <f>Data!$I$52</f>
        <v>53000</v>
      </c>
      <c r="J208" s="72">
        <f>J207+SUM(C208:E208)-SUM(F208:I208)</f>
        <v>3696746.9000000004</v>
      </c>
      <c r="K208" s="256"/>
      <c r="N208" s="59"/>
      <c r="O208" s="59"/>
    </row>
    <row r="209" spans="1:15" x14ac:dyDescent="0.3">
      <c r="A209" s="129" t="str">
        <f>VLOOKUP(WEEKDAY(B209),Data!$A$2:$B$8,2)</f>
        <v>Friday</v>
      </c>
      <c r="B209" s="130">
        <f t="shared" si="16"/>
        <v>43301</v>
      </c>
      <c r="C209" s="108">
        <f>Data!$D$11</f>
        <v>1576000</v>
      </c>
      <c r="D209" s="102"/>
      <c r="E209" s="102">
        <f>Data!$D$44</f>
        <v>6000</v>
      </c>
      <c r="F209" s="108">
        <f>Data!$I$24</f>
        <v>671000</v>
      </c>
      <c r="G209" s="102"/>
      <c r="J209" s="72">
        <f>J208+SUM(C209:E209)-SUM(F209:I209)</f>
        <v>4607746.9000000004</v>
      </c>
      <c r="L209" s="162" t="s">
        <v>246</v>
      </c>
      <c r="M209" s="163"/>
      <c r="N209" s="163"/>
      <c r="O209" s="59"/>
    </row>
    <row r="210" spans="1:15" x14ac:dyDescent="0.3">
      <c r="A210" s="234" t="str">
        <f>VLOOKUP(WEEKDAY(B210),Data!$A$2:$B$8,2)</f>
        <v>Saturday</v>
      </c>
      <c r="B210" s="235">
        <f t="shared" si="16"/>
        <v>43302</v>
      </c>
      <c r="C210" s="249"/>
      <c r="D210" s="250"/>
      <c r="E210" s="237"/>
      <c r="F210" s="239"/>
      <c r="G210" s="237"/>
      <c r="H210" s="146"/>
      <c r="I210" s="146"/>
      <c r="J210" s="251">
        <f t="shared" si="15"/>
        <v>4607746.9000000004</v>
      </c>
      <c r="L210" s="153" t="s">
        <v>82</v>
      </c>
      <c r="M210" s="154" t="s">
        <v>165</v>
      </c>
      <c r="N210" s="155" t="s">
        <v>83</v>
      </c>
      <c r="O210" s="59"/>
    </row>
    <row r="211" spans="1:15" x14ac:dyDescent="0.3">
      <c r="A211" s="22" t="str">
        <f>VLOOKUP(WEEKDAY(B211),Data!$A$2:$B$8,2)</f>
        <v>Sunday</v>
      </c>
      <c r="B211" s="111">
        <f t="shared" si="16"/>
        <v>43303</v>
      </c>
      <c r="C211" s="150"/>
      <c r="D211" s="75"/>
      <c r="E211" s="138"/>
      <c r="F211" s="82"/>
      <c r="G211" s="79"/>
      <c r="H211" s="243"/>
      <c r="I211" s="244"/>
      <c r="J211" s="141">
        <f t="shared" si="15"/>
        <v>4607746.9000000004</v>
      </c>
      <c r="L211" s="156">
        <v>2535844</v>
      </c>
      <c r="M211" s="157">
        <f>280293.5+30953.33-13242.03-85986.06</f>
        <v>212018.74</v>
      </c>
      <c r="N211" s="158">
        <f>L211-M211</f>
        <v>2323825.2599999998</v>
      </c>
      <c r="O211" s="59"/>
    </row>
    <row r="212" spans="1:15" x14ac:dyDescent="0.3">
      <c r="A212" s="22" t="str">
        <f>VLOOKUP(WEEKDAY(B212),Data!$A$2:$B$8,2)</f>
        <v>Monday</v>
      </c>
      <c r="B212" s="4">
        <f t="shared" si="16"/>
        <v>43304</v>
      </c>
      <c r="C212" s="70"/>
      <c r="D212" s="71"/>
      <c r="E212" s="71"/>
      <c r="F212" s="70"/>
      <c r="G212" s="71"/>
      <c r="H212" s="71"/>
      <c r="I212" s="71"/>
      <c r="J212" s="72">
        <f>J211+SUM(C212:E212)-SUM(F212:I212)</f>
        <v>4607746.9000000004</v>
      </c>
      <c r="L212" s="163"/>
    </row>
    <row r="213" spans="1:15" x14ac:dyDescent="0.3">
      <c r="A213" s="22" t="str">
        <f>VLOOKUP(WEEKDAY(B213),Data!$A$2:$B$8,2)</f>
        <v>Tuesday</v>
      </c>
      <c r="B213" s="4">
        <f t="shared" si="16"/>
        <v>43305</v>
      </c>
      <c r="C213" s="74"/>
      <c r="D213" s="71"/>
      <c r="E213" s="73"/>
      <c r="F213" s="70"/>
      <c r="G213" s="228"/>
      <c r="H213" s="71"/>
      <c r="I213" s="71"/>
      <c r="J213" s="72">
        <f>J212+SUM(C213:E213)-SUM(F213:I213)</f>
        <v>4607746.9000000004</v>
      </c>
      <c r="K213" s="255"/>
    </row>
    <row r="214" spans="1:15" x14ac:dyDescent="0.3">
      <c r="A214" t="str">
        <f>VLOOKUP(WEEKDAY(B214),Data!$A$2:$B$8,2)</f>
        <v>Wednesday</v>
      </c>
      <c r="B214" s="4">
        <f t="shared" si="16"/>
        <v>43306</v>
      </c>
      <c r="C214" s="171"/>
      <c r="D214" s="73"/>
      <c r="E214" s="170"/>
      <c r="F214" s="70"/>
      <c r="G214" s="71"/>
      <c r="J214" s="72">
        <f>J213+SUM(C214:E214)-SUM(F214:I214)</f>
        <v>4607746.9000000004</v>
      </c>
    </row>
    <row r="215" spans="1:15" x14ac:dyDescent="0.3">
      <c r="A215" s="22" t="str">
        <f>VLOOKUP(WEEKDAY(B215),Data!$A$2:$B$8,2)</f>
        <v>Thursday</v>
      </c>
      <c r="B215" s="4">
        <f t="shared" si="16"/>
        <v>43307</v>
      </c>
      <c r="C215" s="70"/>
      <c r="D215" s="71"/>
      <c r="E215" s="73"/>
      <c r="F215" s="74"/>
      <c r="G215" s="285">
        <f>Data!$I$37</f>
        <v>210000</v>
      </c>
      <c r="H215" s="102">
        <f>Data!$I$41</f>
        <v>8000</v>
      </c>
      <c r="I215" s="102">
        <f>Data!$I$52</f>
        <v>53000</v>
      </c>
      <c r="J215" s="72">
        <f>J214+SUM(C215:E215)-SUM(F215:I215)</f>
        <v>4336746.9000000004</v>
      </c>
      <c r="K215" s="259"/>
    </row>
    <row r="216" spans="1:15" x14ac:dyDescent="0.3">
      <c r="A216" t="str">
        <f>VLOOKUP(WEEKDAY(B216),Data!$A$2:$B$8,2)</f>
        <v>Friday</v>
      </c>
      <c r="B216" s="4">
        <f t="shared" si="16"/>
        <v>43308</v>
      </c>
      <c r="C216" s="70"/>
      <c r="D216" s="71"/>
      <c r="E216" s="102">
        <f>Data!$D$44</f>
        <v>6000</v>
      </c>
      <c r="F216" s="70"/>
      <c r="J216" s="72">
        <f>J215+SUM(C216:E216)-SUM(F216:I216)</f>
        <v>4342746.9000000004</v>
      </c>
      <c r="L216" s="162" t="s">
        <v>166</v>
      </c>
      <c r="M216" s="163"/>
      <c r="N216" s="163"/>
    </row>
    <row r="217" spans="1:15" x14ac:dyDescent="0.3">
      <c r="A217" s="19" t="str">
        <f>VLOOKUP(WEEKDAY(B217),Data!$A$2:$B$8,2)</f>
        <v>Saturday</v>
      </c>
      <c r="B217" s="60">
        <f t="shared" si="16"/>
        <v>43309</v>
      </c>
      <c r="C217" s="84"/>
      <c r="D217" s="85"/>
      <c r="E217" s="146"/>
      <c r="F217" s="84"/>
      <c r="G217" s="146"/>
      <c r="H217" s="146"/>
      <c r="I217" s="146"/>
      <c r="J217" s="86">
        <f t="shared" si="15"/>
        <v>4342746.9000000004</v>
      </c>
      <c r="L217" s="153" t="s">
        <v>82</v>
      </c>
      <c r="M217" s="154" t="s">
        <v>165</v>
      </c>
      <c r="N217" s="155" t="s">
        <v>83</v>
      </c>
    </row>
    <row r="218" spans="1:15" x14ac:dyDescent="0.3">
      <c r="A218" s="40" t="str">
        <f>VLOOKUP(WEEKDAY(B218),Data!$A$2:$B$8,2)</f>
        <v>Sunday</v>
      </c>
      <c r="B218" s="111">
        <f t="shared" si="16"/>
        <v>43310</v>
      </c>
      <c r="C218" s="82"/>
      <c r="D218" s="75"/>
      <c r="E218" s="138"/>
      <c r="F218" s="82"/>
      <c r="G218" s="243"/>
      <c r="H218" s="243"/>
      <c r="I218" s="243"/>
      <c r="J218" s="141">
        <f t="shared" si="15"/>
        <v>4342746.9000000004</v>
      </c>
      <c r="L218" s="156">
        <v>2289525</v>
      </c>
      <c r="M218" s="157">
        <f>272668.68+241950.94-401.77-287276.97</f>
        <v>226940.88</v>
      </c>
      <c r="N218" s="158">
        <f>L218-M218</f>
        <v>2062584.12</v>
      </c>
    </row>
    <row r="219" spans="1:15" x14ac:dyDescent="0.3">
      <c r="A219" s="22" t="str">
        <f>VLOOKUP(WEEKDAY(B219),Data!$A$2:$B$8,2)</f>
        <v>Monday</v>
      </c>
      <c r="B219" s="4">
        <f t="shared" si="16"/>
        <v>43311</v>
      </c>
      <c r="C219" s="80"/>
      <c r="D219" s="73"/>
      <c r="E219" s="10"/>
      <c r="F219" s="70"/>
      <c r="G219" s="71"/>
      <c r="H219" s="71"/>
      <c r="I219" s="109"/>
      <c r="J219" s="72">
        <f>J218+SUM(C219:E219)-SUM(F219:I219)</f>
        <v>4342746.9000000004</v>
      </c>
      <c r="K219" s="260"/>
      <c r="L219" s="55"/>
    </row>
    <row r="220" spans="1:15" x14ac:dyDescent="0.3">
      <c r="A220" s="22" t="str">
        <f>VLOOKUP(WEEKDAY(B220),Data!$A$2:$B$8,2)</f>
        <v>Tuesday</v>
      </c>
      <c r="B220" s="4">
        <f t="shared" si="16"/>
        <v>43312</v>
      </c>
      <c r="C220" s="70"/>
      <c r="D220" s="71">
        <f>Data!$D$20</f>
        <v>0</v>
      </c>
      <c r="E220" s="109"/>
      <c r="F220" s="108"/>
      <c r="G220" s="71"/>
      <c r="H220" s="71"/>
      <c r="I220" s="71"/>
      <c r="J220" s="72">
        <f t="shared" si="15"/>
        <v>4342746.9000000004</v>
      </c>
      <c r="K220" s="255"/>
    </row>
    <row r="221" spans="1:15" x14ac:dyDescent="0.3">
      <c r="A221" s="22" t="str">
        <f>VLOOKUP(WEEKDAY(B221),Data!$A$2:$B$8,2)</f>
        <v>Wednesday</v>
      </c>
      <c r="B221" s="4">
        <f t="shared" si="16"/>
        <v>43313</v>
      </c>
      <c r="C221" s="70"/>
      <c r="D221" s="71"/>
      <c r="E221" s="109"/>
      <c r="F221" s="70"/>
      <c r="G221" s="71"/>
      <c r="H221" s="107"/>
      <c r="I221" s="143"/>
      <c r="J221" s="72">
        <f t="shared" si="15"/>
        <v>4342746.9000000004</v>
      </c>
      <c r="K221" s="259"/>
    </row>
    <row r="222" spans="1:15" x14ac:dyDescent="0.3">
      <c r="A222" t="str">
        <f>VLOOKUP(WEEKDAY(B222),Data!$A$2:$B$8,2)</f>
        <v>Thursday</v>
      </c>
      <c r="B222" s="4">
        <f t="shared" si="16"/>
        <v>43314</v>
      </c>
      <c r="C222" s="70"/>
      <c r="D222" s="71"/>
      <c r="E222" s="71"/>
      <c r="F222" s="70"/>
      <c r="G222" s="71"/>
      <c r="H222" s="102">
        <f>Data!$I$41</f>
        <v>8000</v>
      </c>
      <c r="I222" s="102">
        <f>Data!$I$52</f>
        <v>53000</v>
      </c>
      <c r="J222" s="72">
        <f>J221+SUM(C222:E222)-SUM(F222:I222)</f>
        <v>4281746.9000000004</v>
      </c>
    </row>
    <row r="223" spans="1:15" x14ac:dyDescent="0.3">
      <c r="A223" t="str">
        <f>VLOOKUP(WEEKDAY(B223),Data!$A$2:$B$8,2)</f>
        <v>Friday</v>
      </c>
      <c r="B223" s="4">
        <f t="shared" si="16"/>
        <v>43315</v>
      </c>
      <c r="C223" s="70"/>
      <c r="D223" s="71"/>
      <c r="E223" s="102">
        <f>Data!$D$44</f>
        <v>6000</v>
      </c>
      <c r="F223" s="70"/>
      <c r="G223" s="71"/>
      <c r="J223" s="72">
        <f>J222+SUM(C223:E223)-SUM(F223:I223)</f>
        <v>4287746.9000000004</v>
      </c>
    </row>
    <row r="224" spans="1:15" x14ac:dyDescent="0.3">
      <c r="A224" s="19" t="str">
        <f>VLOOKUP(WEEKDAY(B224),Data!$A$2:$B$8,2)</f>
        <v>Saturday</v>
      </c>
      <c r="B224" s="60">
        <f t="shared" si="16"/>
        <v>43316</v>
      </c>
      <c r="C224" s="84"/>
      <c r="D224" s="85"/>
      <c r="E224" s="146"/>
      <c r="F224" s="232"/>
      <c r="G224" s="85"/>
      <c r="H224" s="146"/>
      <c r="I224" s="146"/>
      <c r="J224" s="86">
        <f t="shared" si="15"/>
        <v>4287746.9000000004</v>
      </c>
    </row>
    <row r="225" spans="1:17" x14ac:dyDescent="0.3">
      <c r="A225" s="22" t="str">
        <f>VLOOKUP(WEEKDAY(B225),Data!$A$2:$B$8,2)</f>
        <v>Sunday</v>
      </c>
      <c r="B225" s="4">
        <f t="shared" si="16"/>
        <v>43317</v>
      </c>
      <c r="C225" s="70"/>
      <c r="D225" s="71"/>
      <c r="E225" s="102"/>
      <c r="F225" s="108"/>
      <c r="G225" s="71"/>
      <c r="H225" s="107"/>
      <c r="I225" s="107"/>
      <c r="J225" s="72">
        <f t="shared" si="15"/>
        <v>4287746.9000000004</v>
      </c>
    </row>
    <row r="226" spans="1:17" x14ac:dyDescent="0.3">
      <c r="A226" s="22" t="str">
        <f>VLOOKUP(WEEKDAY(B226),Data!$A$2:$B$8,2)</f>
        <v>Monday</v>
      </c>
      <c r="B226" s="4">
        <f t="shared" si="16"/>
        <v>43318</v>
      </c>
      <c r="C226" s="70"/>
      <c r="D226" s="71"/>
      <c r="E226" s="71"/>
      <c r="F226" s="108">
        <f>Data!$I$24</f>
        <v>671000</v>
      </c>
      <c r="G226" s="71"/>
      <c r="H226" s="71"/>
      <c r="I226" s="71"/>
      <c r="J226" s="72">
        <f>J225+SUM(C226:E226)-SUM(F226:I226)</f>
        <v>3616746.9000000004</v>
      </c>
      <c r="Q226" s="59"/>
    </row>
    <row r="227" spans="1:17" x14ac:dyDescent="0.3">
      <c r="A227" s="22" t="str">
        <f>VLOOKUP(WEEKDAY(B227),Data!$A$2:$B$8,2)</f>
        <v>Tuesday</v>
      </c>
      <c r="B227" s="4">
        <f t="shared" si="16"/>
        <v>43319</v>
      </c>
      <c r="C227" s="70"/>
      <c r="D227" s="71"/>
      <c r="E227" s="71"/>
      <c r="F227" s="70"/>
      <c r="G227" s="71"/>
      <c r="H227" s="71"/>
      <c r="I227" s="71"/>
      <c r="J227" s="72">
        <f>J226+SUM(C227:E227)-SUM(F227:I227)</f>
        <v>3616746.9000000004</v>
      </c>
      <c r="P227" s="59"/>
      <c r="Q227" s="59"/>
    </row>
    <row r="228" spans="1:17" x14ac:dyDescent="0.3">
      <c r="A228" t="str">
        <f>VLOOKUP(WEEKDAY(B228),Data!$A$2:$B$8,2)</f>
        <v>Wednesday</v>
      </c>
      <c r="B228" s="4">
        <f t="shared" si="16"/>
        <v>43320</v>
      </c>
      <c r="C228" s="70"/>
      <c r="D228" s="71"/>
      <c r="F228" s="70"/>
      <c r="G228" s="71"/>
      <c r="J228" s="72">
        <f t="shared" si="15"/>
        <v>3616746.9000000004</v>
      </c>
      <c r="P228" s="59"/>
      <c r="Q228" s="59"/>
    </row>
    <row r="229" spans="1:17" x14ac:dyDescent="0.3">
      <c r="A229" t="str">
        <f>VLOOKUP(WEEKDAY(B229),Data!$A$2:$B$8,2)</f>
        <v>Thursday</v>
      </c>
      <c r="B229" s="4">
        <f t="shared" si="16"/>
        <v>43321</v>
      </c>
      <c r="C229" s="70"/>
      <c r="D229" s="71"/>
      <c r="E229" s="71"/>
      <c r="F229" s="70"/>
      <c r="G229" s="71"/>
      <c r="H229" s="102">
        <f>Data!$I$41</f>
        <v>8000</v>
      </c>
      <c r="I229" s="102">
        <f>Data!$I$52</f>
        <v>53000</v>
      </c>
      <c r="J229" s="72">
        <f>J228+SUM(C229:E229)-SUM(F229:I229)</f>
        <v>3555746.9000000004</v>
      </c>
      <c r="P229" s="59"/>
      <c r="Q229" s="59"/>
    </row>
    <row r="230" spans="1:17" x14ac:dyDescent="0.3">
      <c r="A230" t="str">
        <f>VLOOKUP(WEEKDAY(B230),Data!$A$2:$B$8,2)</f>
        <v>Friday</v>
      </c>
      <c r="B230" s="4">
        <f t="shared" si="16"/>
        <v>43322</v>
      </c>
      <c r="C230" s="108">
        <f>Data!$D$15</f>
        <v>73000</v>
      </c>
      <c r="D230" s="71"/>
      <c r="E230" s="102">
        <f>Data!$D$44</f>
        <v>6000</v>
      </c>
      <c r="F230" s="70"/>
      <c r="G230" s="71"/>
      <c r="J230" s="72">
        <f>J229+SUM(C230:E230)-SUM(F230:I230)</f>
        <v>3634746.9000000004</v>
      </c>
      <c r="N230" s="89"/>
      <c r="P230" s="59"/>
      <c r="Q230" s="59"/>
    </row>
    <row r="231" spans="1:17" x14ac:dyDescent="0.3">
      <c r="A231" s="19" t="str">
        <f>VLOOKUP(WEEKDAY(B231),Data!$A$2:$B$8,2)</f>
        <v>Saturday</v>
      </c>
      <c r="B231" s="60">
        <f t="shared" si="16"/>
        <v>43323</v>
      </c>
      <c r="C231" s="84"/>
      <c r="D231" s="85"/>
      <c r="E231" s="85"/>
      <c r="F231" s="84"/>
      <c r="G231" s="85"/>
      <c r="H231" s="146"/>
      <c r="I231" s="146"/>
      <c r="J231" s="86">
        <f t="shared" si="15"/>
        <v>3634746.9000000004</v>
      </c>
      <c r="N231" s="59"/>
      <c r="O231" s="59"/>
      <c r="P231" s="59"/>
      <c r="Q231" s="59"/>
    </row>
    <row r="232" spans="1:17" x14ac:dyDescent="0.3">
      <c r="A232" s="22" t="str">
        <f>VLOOKUP(WEEKDAY(B232),Data!$A$2:$B$8,2)</f>
        <v>Sunday</v>
      </c>
      <c r="B232" s="4">
        <f t="shared" si="16"/>
        <v>43324</v>
      </c>
      <c r="C232" s="82"/>
      <c r="D232" s="71"/>
      <c r="E232" s="102"/>
      <c r="F232" s="70"/>
      <c r="G232" s="71"/>
      <c r="H232" s="107"/>
      <c r="I232" s="107"/>
      <c r="J232" s="72">
        <f t="shared" si="15"/>
        <v>3634746.9000000004</v>
      </c>
      <c r="K232" s="260"/>
      <c r="N232" s="59"/>
      <c r="O232" s="59"/>
      <c r="P232" s="59"/>
      <c r="Q232" s="59"/>
    </row>
    <row r="233" spans="1:17" x14ac:dyDescent="0.3">
      <c r="A233" s="22" t="str">
        <f>VLOOKUP(WEEKDAY(B233),Data!$A$2:$B$8,2)</f>
        <v>Monday</v>
      </c>
      <c r="B233" s="4">
        <f t="shared" si="16"/>
        <v>43325</v>
      </c>
      <c r="C233" s="70"/>
      <c r="D233" s="71"/>
      <c r="E233" s="71"/>
      <c r="F233" s="70"/>
      <c r="G233" s="71"/>
      <c r="H233" s="71"/>
      <c r="I233" s="71"/>
      <c r="J233" s="72">
        <f>J232+SUM(C233:E233)-SUM(F233:I233)</f>
        <v>3634746.9000000004</v>
      </c>
      <c r="L233" s="55"/>
      <c r="N233" s="59"/>
      <c r="O233" s="59"/>
      <c r="P233" s="59"/>
      <c r="Q233" s="59"/>
    </row>
    <row r="234" spans="1:17" x14ac:dyDescent="0.3">
      <c r="A234" s="22" t="str">
        <f>VLOOKUP(WEEKDAY(B234),Data!$A$2:$B$8,2)</f>
        <v>Tuesday</v>
      </c>
      <c r="B234" s="4">
        <f t="shared" si="16"/>
        <v>43326</v>
      </c>
      <c r="C234" s="70"/>
      <c r="D234" s="71"/>
      <c r="E234" s="71"/>
      <c r="F234" s="108"/>
      <c r="G234" s="71"/>
      <c r="H234" s="71"/>
      <c r="I234" s="71"/>
      <c r="J234" s="72">
        <f>J233+SUM(C234:E234)-SUM(F234:I234)</f>
        <v>3634746.9000000004</v>
      </c>
      <c r="M234" s="100"/>
      <c r="N234" s="100"/>
      <c r="O234" s="59"/>
      <c r="P234" s="59"/>
    </row>
    <row r="235" spans="1:17" x14ac:dyDescent="0.3">
      <c r="A235" t="str">
        <f>VLOOKUP(WEEKDAY(B235),Data!$A$2:$B$8,2)</f>
        <v>Wednesday</v>
      </c>
      <c r="B235" s="4">
        <f t="shared" si="16"/>
        <v>43327</v>
      </c>
      <c r="C235" s="70"/>
      <c r="D235" s="71"/>
      <c r="F235" s="70"/>
      <c r="G235" s="71"/>
      <c r="J235" s="72">
        <f t="shared" si="15"/>
        <v>3634746.9000000004</v>
      </c>
      <c r="M235" s="100"/>
      <c r="N235" s="100"/>
      <c r="O235" s="59"/>
    </row>
    <row r="236" spans="1:17" x14ac:dyDescent="0.3">
      <c r="A236" t="str">
        <f>VLOOKUP(WEEKDAY(B236),Data!$A$2:$B$8,2)</f>
        <v>Thursday</v>
      </c>
      <c r="B236" s="4">
        <f t="shared" si="16"/>
        <v>43328</v>
      </c>
      <c r="C236" s="70"/>
      <c r="D236" s="71"/>
      <c r="E236" s="71"/>
      <c r="F236" s="70"/>
      <c r="G236" s="75"/>
      <c r="H236" s="102">
        <f>Data!$I$41</f>
        <v>8000</v>
      </c>
      <c r="I236" s="102">
        <f>Data!$I$52</f>
        <v>53000</v>
      </c>
      <c r="J236" s="72">
        <f>J235+SUM(C236:E236)-SUM(F236:I236)</f>
        <v>3573746.9000000004</v>
      </c>
      <c r="M236" s="100"/>
      <c r="N236" s="100"/>
      <c r="O236" s="59"/>
    </row>
    <row r="237" spans="1:17" x14ac:dyDescent="0.3">
      <c r="A237" t="str">
        <f>VLOOKUP(WEEKDAY(B237),Data!$A$2:$B$8,2)</f>
        <v>Friday</v>
      </c>
      <c r="B237" s="4">
        <f t="shared" si="16"/>
        <v>43329</v>
      </c>
      <c r="C237" s="70"/>
      <c r="D237" s="71"/>
      <c r="E237" s="102">
        <f>Data!$D$44</f>
        <v>6000</v>
      </c>
      <c r="F237" s="70"/>
      <c r="G237" s="71"/>
      <c r="J237" s="72">
        <f>J236+SUM(C237:E237)-SUM(F237:I237)</f>
        <v>3579746.9000000004</v>
      </c>
      <c r="N237" s="59"/>
      <c r="O237" s="59"/>
    </row>
    <row r="238" spans="1:17" x14ac:dyDescent="0.3">
      <c r="A238" s="19" t="str">
        <f>VLOOKUP(WEEKDAY(B238),Data!$A$2:$B$8,2)</f>
        <v>Saturday</v>
      </c>
      <c r="B238" s="60">
        <f t="shared" si="16"/>
        <v>43330</v>
      </c>
      <c r="C238" s="84"/>
      <c r="D238" s="85"/>
      <c r="E238" s="146"/>
      <c r="F238" s="84"/>
      <c r="G238" s="85"/>
      <c r="H238" s="146"/>
      <c r="I238" s="146"/>
      <c r="J238" s="86">
        <f t="shared" si="15"/>
        <v>3579746.9000000004</v>
      </c>
      <c r="K238" s="260"/>
      <c r="O238" s="59"/>
    </row>
    <row r="239" spans="1:17" x14ac:dyDescent="0.3">
      <c r="A239" s="22" t="str">
        <f>VLOOKUP(WEEKDAY(B239),Data!$A$2:$B$8,2)</f>
        <v>Sunday</v>
      </c>
      <c r="B239" s="4">
        <f t="shared" si="16"/>
        <v>43331</v>
      </c>
      <c r="C239" s="70"/>
      <c r="D239" s="71"/>
      <c r="E239" s="102"/>
      <c r="F239" s="108"/>
      <c r="G239" s="71"/>
      <c r="H239" s="107"/>
      <c r="I239" s="22"/>
      <c r="J239" s="72">
        <f t="shared" si="15"/>
        <v>3579746.9000000004</v>
      </c>
      <c r="L239" s="55"/>
    </row>
    <row r="240" spans="1:17" x14ac:dyDescent="0.3">
      <c r="A240" s="22" t="str">
        <f>VLOOKUP(WEEKDAY(B240),Data!$A$2:$B$8,2)</f>
        <v>Monday</v>
      </c>
      <c r="B240" s="4">
        <f t="shared" si="16"/>
        <v>43332</v>
      </c>
      <c r="C240" s="108">
        <f>Data!$D$11</f>
        <v>1576000</v>
      </c>
      <c r="D240" s="71"/>
      <c r="E240" s="71"/>
      <c r="F240" s="70"/>
      <c r="G240" s="71"/>
      <c r="H240" s="71"/>
      <c r="I240" s="75"/>
      <c r="J240" s="72">
        <f t="shared" si="15"/>
        <v>5155746.9000000004</v>
      </c>
      <c r="K240" s="297" t="s">
        <v>270</v>
      </c>
      <c r="L240" s="298"/>
      <c r="M240" s="298"/>
    </row>
    <row r="241" spans="1:13" x14ac:dyDescent="0.3">
      <c r="A241" s="22" t="str">
        <f>VLOOKUP(WEEKDAY(B241),Data!$A$2:$B$8,2)</f>
        <v>Tuesday</v>
      </c>
      <c r="B241" s="4">
        <f t="shared" si="16"/>
        <v>43333</v>
      </c>
      <c r="C241" s="108"/>
      <c r="D241" s="71"/>
      <c r="E241" s="276">
        <v>0</v>
      </c>
      <c r="F241" s="108">
        <f>Data!$I$24</f>
        <v>671000</v>
      </c>
      <c r="G241" s="71"/>
      <c r="H241" s="276">
        <v>29150</v>
      </c>
      <c r="I241" s="277">
        <v>2500000</v>
      </c>
      <c r="J241" s="72">
        <f>J240+SUM(C241:E241)-SUM(F241:I241)</f>
        <v>1955596.9000000004</v>
      </c>
      <c r="K241" s="297"/>
      <c r="L241" s="298"/>
      <c r="M241" s="298"/>
    </row>
    <row r="242" spans="1:13" x14ac:dyDescent="0.3">
      <c r="A242" t="str">
        <f>VLOOKUP(WEEKDAY(B242),Data!$A$2:$B$8,2)</f>
        <v>Wednesday</v>
      </c>
      <c r="B242" s="4">
        <f t="shared" si="16"/>
        <v>43334</v>
      </c>
      <c r="C242" s="108"/>
      <c r="D242" s="71"/>
      <c r="E242" s="145"/>
      <c r="F242" s="70"/>
      <c r="G242" s="71"/>
      <c r="H242" s="145"/>
      <c r="I242" s="75"/>
      <c r="J242" s="72">
        <f>J241+SUM(C242:E242)-SUM(F242:I242)</f>
        <v>1955596.9000000004</v>
      </c>
      <c r="K242" s="297"/>
      <c r="L242" s="298"/>
      <c r="M242" s="298"/>
    </row>
    <row r="243" spans="1:13" x14ac:dyDescent="0.3">
      <c r="A243" t="str">
        <f>VLOOKUP(WEEKDAY(B243),Data!$A$2:$B$8,2)</f>
        <v>Thursday</v>
      </c>
      <c r="B243" s="4">
        <f t="shared" si="16"/>
        <v>43335</v>
      </c>
      <c r="C243" s="70"/>
      <c r="D243" s="71"/>
      <c r="E243" s="71"/>
      <c r="F243" s="70"/>
      <c r="G243" s="71"/>
      <c r="H243" s="102">
        <f>Data!$I$41</f>
        <v>8000</v>
      </c>
      <c r="I243" s="102">
        <f>Data!$I$52</f>
        <v>53000</v>
      </c>
      <c r="J243" s="72">
        <f>J242+SUM(C243:E243)-SUM(F243:I243)</f>
        <v>1894596.9000000004</v>
      </c>
    </row>
    <row r="244" spans="1:13" x14ac:dyDescent="0.3">
      <c r="A244" t="str">
        <f>VLOOKUP(WEEKDAY(B244),Data!$A$2:$B$8,2)</f>
        <v>Friday</v>
      </c>
      <c r="B244" s="4">
        <f t="shared" si="16"/>
        <v>43336</v>
      </c>
      <c r="C244" s="70"/>
      <c r="D244" s="71"/>
      <c r="E244" s="102">
        <f>Data!$D$44</f>
        <v>6000</v>
      </c>
      <c r="F244" s="70"/>
      <c r="G244" s="71"/>
      <c r="J244" s="72">
        <f t="shared" si="15"/>
        <v>1900596.9000000004</v>
      </c>
      <c r="L244" s="172"/>
    </row>
    <row r="245" spans="1:13" x14ac:dyDescent="0.3">
      <c r="A245" s="19" t="str">
        <f>VLOOKUP(WEEKDAY(B245),Data!$A$2:$B$8,2)</f>
        <v>Saturday</v>
      </c>
      <c r="B245" s="60">
        <f t="shared" si="16"/>
        <v>43337</v>
      </c>
      <c r="C245" s="84"/>
      <c r="D245" s="85"/>
      <c r="E245" s="146"/>
      <c r="F245" s="84"/>
      <c r="G245" s="146"/>
      <c r="H245" s="146"/>
      <c r="I245" s="146"/>
      <c r="J245" s="86">
        <f t="shared" si="15"/>
        <v>1900596.9000000004</v>
      </c>
    </row>
    <row r="246" spans="1:13" x14ac:dyDescent="0.3">
      <c r="A246" s="22" t="str">
        <f>VLOOKUP(WEEKDAY(B246),Data!$A$2:$B$8,2)</f>
        <v>Sunday</v>
      </c>
      <c r="B246" s="4">
        <f t="shared" si="16"/>
        <v>43338</v>
      </c>
      <c r="C246" s="70"/>
      <c r="D246" s="75"/>
      <c r="E246" s="102"/>
      <c r="F246" s="70"/>
      <c r="G246" s="107"/>
      <c r="H246" s="107"/>
      <c r="I246" s="177"/>
      <c r="J246" s="72">
        <f t="shared" si="15"/>
        <v>1900596.9000000004</v>
      </c>
    </row>
    <row r="247" spans="1:13" x14ac:dyDescent="0.3">
      <c r="A247" s="22" t="str">
        <f>VLOOKUP(WEEKDAY(B247),Data!$A$2:$B$8,2)</f>
        <v>Monday</v>
      </c>
      <c r="B247" s="4">
        <f t="shared" si="16"/>
        <v>43339</v>
      </c>
      <c r="C247" s="70"/>
      <c r="D247" s="71"/>
      <c r="E247" s="71"/>
      <c r="F247" s="70"/>
      <c r="G247" s="71"/>
      <c r="H247" s="71"/>
      <c r="I247" s="71"/>
      <c r="J247" s="72">
        <f>J246+SUM(C247:E247)-SUM(F247:I247)</f>
        <v>1900596.9000000004</v>
      </c>
    </row>
    <row r="248" spans="1:13" x14ac:dyDescent="0.3">
      <c r="A248" s="22" t="str">
        <f>VLOOKUP(WEEKDAY(B248),Data!$A$2:$B$8,2)</f>
        <v>Tuesday</v>
      </c>
      <c r="B248" s="4">
        <f t="shared" si="16"/>
        <v>43340</v>
      </c>
      <c r="C248" s="70"/>
      <c r="D248" s="107"/>
      <c r="E248" s="71"/>
      <c r="F248" s="108"/>
      <c r="G248" s="107"/>
      <c r="H248" s="107"/>
      <c r="I248" s="75"/>
      <c r="J248" s="72">
        <f>J247+SUM(C248:E248)-SUM(F248:I248)</f>
        <v>1900596.9000000004</v>
      </c>
    </row>
    <row r="249" spans="1:13" x14ac:dyDescent="0.3">
      <c r="A249" t="str">
        <f>VLOOKUP(WEEKDAY(B249),Data!$A$2:$B$8,2)</f>
        <v>Wednesday</v>
      </c>
      <c r="B249" s="4">
        <f t="shared" si="16"/>
        <v>43341</v>
      </c>
      <c r="C249" s="70"/>
      <c r="D249" s="83">
        <f>Data!$D$37+Data!$D$40</f>
        <v>407000</v>
      </c>
      <c r="E249" s="71"/>
      <c r="F249" s="70"/>
      <c r="G249" s="71"/>
      <c r="H249" s="71"/>
      <c r="I249" s="144">
        <f>Data!$I$57</f>
        <v>475000</v>
      </c>
      <c r="J249" s="72">
        <f>J248+SUM(C249:E249)-SUM(F249:I249)</f>
        <v>1832596.9000000004</v>
      </c>
      <c r="K249" s="278" t="s">
        <v>269</v>
      </c>
    </row>
    <row r="250" spans="1:13" x14ac:dyDescent="0.3">
      <c r="A250" t="str">
        <f>VLOOKUP(WEEKDAY(B250),Data!$A$2:$B$8,2)</f>
        <v>Thursday</v>
      </c>
      <c r="B250" s="4">
        <f t="shared" si="16"/>
        <v>43342</v>
      </c>
      <c r="C250" s="70"/>
      <c r="E250" s="143"/>
      <c r="G250" s="285">
        <f>Data!$I$37</f>
        <v>210000</v>
      </c>
      <c r="H250" s="102">
        <f>Data!$I$41</f>
        <v>8000</v>
      </c>
      <c r="I250" s="102">
        <f>Data!$I$52</f>
        <v>53000</v>
      </c>
      <c r="J250" s="72">
        <f>J249+SUM(C250:E250)-SUM(F249:I249)</f>
        <v>1357596.9000000004</v>
      </c>
    </row>
    <row r="251" spans="1:13" x14ac:dyDescent="0.3">
      <c r="A251" s="48" t="str">
        <f>VLOOKUP(WEEKDAY(B251),Data!$A$2:$B$8,2)</f>
        <v>Friday</v>
      </c>
      <c r="B251" s="111">
        <f t="shared" si="16"/>
        <v>43343</v>
      </c>
      <c r="C251" s="82"/>
      <c r="D251" s="71">
        <f>Data!$D$21</f>
        <v>0</v>
      </c>
      <c r="E251" s="102">
        <f>Data!$D$44</f>
        <v>6000</v>
      </c>
      <c r="F251" s="82"/>
      <c r="J251" s="141">
        <f>J250+SUM(C251:E251)-SUM(F251:I251)</f>
        <v>1363596.9000000004</v>
      </c>
    </row>
    <row r="252" spans="1:13" x14ac:dyDescent="0.3">
      <c r="A252" s="19" t="str">
        <f>VLOOKUP(WEEKDAY(B252),Data!$A$2:$B$8,2)</f>
        <v>Saturday</v>
      </c>
      <c r="B252" s="60">
        <f t="shared" si="16"/>
        <v>43344</v>
      </c>
      <c r="C252" s="84"/>
      <c r="D252" s="252"/>
      <c r="E252" s="146"/>
      <c r="F252" s="84"/>
      <c r="G252" s="85"/>
      <c r="H252" s="146"/>
      <c r="I252" s="146"/>
      <c r="J252" s="86">
        <f t="shared" ref="J252:J315" si="17">J251+SUM(C252:E252)-SUM(F252:I252)</f>
        <v>1363596.9000000004</v>
      </c>
    </row>
    <row r="253" spans="1:13" x14ac:dyDescent="0.3">
      <c r="A253" s="22" t="str">
        <f>VLOOKUP(WEEKDAY(B253),Data!$A$2:$B$8,2)</f>
        <v>Sunday</v>
      </c>
      <c r="B253" s="4">
        <f t="shared" si="16"/>
        <v>43345</v>
      </c>
      <c r="C253" s="70"/>
      <c r="D253" s="75"/>
      <c r="E253" s="102"/>
      <c r="F253" s="70"/>
      <c r="G253" s="71"/>
      <c r="H253" s="71"/>
      <c r="I253" s="71"/>
      <c r="J253" s="72">
        <f t="shared" si="17"/>
        <v>1363596.9000000004</v>
      </c>
      <c r="L253" s="55"/>
    </row>
    <row r="254" spans="1:13" x14ac:dyDescent="0.3">
      <c r="A254" s="22" t="str">
        <f>VLOOKUP(WEEKDAY(B254),Data!$A$2:$B$8,2)</f>
        <v>Monday</v>
      </c>
      <c r="B254" s="4">
        <f t="shared" si="16"/>
        <v>43346</v>
      </c>
      <c r="C254" s="70"/>
      <c r="D254" s="75"/>
      <c r="E254" s="71"/>
      <c r="F254" s="70"/>
      <c r="G254" s="71"/>
      <c r="H254" s="71"/>
      <c r="I254" s="71"/>
      <c r="J254" s="72">
        <f>J253+SUM(C254:E254)-SUM(F254:I254)</f>
        <v>1363596.9000000004</v>
      </c>
      <c r="L254" s="55"/>
    </row>
    <row r="255" spans="1:13" x14ac:dyDescent="0.3">
      <c r="A255" s="22" t="str">
        <f>VLOOKUP(WEEKDAY(B255),Data!$A$2:$B$8,2)</f>
        <v>Tuesday</v>
      </c>
      <c r="B255" s="4">
        <f t="shared" ref="B255:B318" si="18">B254+1</f>
        <v>43347</v>
      </c>
      <c r="C255" s="70"/>
      <c r="D255" s="75"/>
      <c r="E255" s="71"/>
      <c r="F255" s="108"/>
      <c r="G255" s="71"/>
      <c r="H255" s="71"/>
      <c r="I255" s="71"/>
      <c r="J255" s="72">
        <f>J254+SUM(C255:E255)-SUM(F255:I255)</f>
        <v>1363596.9000000004</v>
      </c>
    </row>
    <row r="256" spans="1:13" x14ac:dyDescent="0.3">
      <c r="A256" t="str">
        <f>VLOOKUP(WEEKDAY(B256),Data!$A$2:$B$8,2)</f>
        <v>Wednesday</v>
      </c>
      <c r="B256" s="4">
        <f t="shared" si="18"/>
        <v>43348</v>
      </c>
      <c r="C256" s="70"/>
      <c r="D256" s="75"/>
      <c r="F256" s="70"/>
      <c r="G256" s="71"/>
      <c r="J256" s="72">
        <f t="shared" si="17"/>
        <v>1363596.9000000004</v>
      </c>
    </row>
    <row r="257" spans="1:12" x14ac:dyDescent="0.3">
      <c r="A257" t="str">
        <f>VLOOKUP(WEEKDAY(B257),Data!$A$2:$B$8,2)</f>
        <v>Thursday</v>
      </c>
      <c r="B257" s="4">
        <f t="shared" si="18"/>
        <v>43349</v>
      </c>
      <c r="C257" s="70"/>
      <c r="D257" s="75"/>
      <c r="E257" s="71"/>
      <c r="F257" s="108">
        <f>Data!$I$25</f>
        <v>687000</v>
      </c>
      <c r="G257" s="71"/>
      <c r="H257" s="102">
        <f>Data!$I$41</f>
        <v>8000</v>
      </c>
      <c r="I257" s="102">
        <f>Data!$I$52</f>
        <v>53000</v>
      </c>
      <c r="J257" s="72">
        <f>J256+SUM(C257:E257)-SUM(F257:I257)</f>
        <v>615596.90000000037</v>
      </c>
    </row>
    <row r="258" spans="1:12" x14ac:dyDescent="0.3">
      <c r="A258" t="str">
        <f>VLOOKUP(WEEKDAY(B258),Data!$A$2:$B$8,2)</f>
        <v>Friday</v>
      </c>
      <c r="B258" s="4">
        <f t="shared" si="18"/>
        <v>43350</v>
      </c>
      <c r="C258" s="70"/>
      <c r="D258" s="75"/>
      <c r="E258" s="102">
        <f>Data!$D$44</f>
        <v>6000</v>
      </c>
      <c r="F258" s="70"/>
      <c r="G258" s="71"/>
      <c r="J258" s="72">
        <f t="shared" si="17"/>
        <v>621596.90000000037</v>
      </c>
    </row>
    <row r="259" spans="1:12" x14ac:dyDescent="0.3">
      <c r="A259" s="19" t="str">
        <f>VLOOKUP(WEEKDAY(B259),Data!$A$2:$B$8,2)</f>
        <v>Saturday</v>
      </c>
      <c r="B259" s="60">
        <f t="shared" si="18"/>
        <v>43351</v>
      </c>
      <c r="C259" s="84"/>
      <c r="D259" s="252"/>
      <c r="E259" s="146"/>
      <c r="F259" s="84"/>
      <c r="G259" s="85"/>
      <c r="H259" s="146"/>
      <c r="I259" s="146"/>
      <c r="J259" s="86">
        <f t="shared" si="17"/>
        <v>621596.90000000037</v>
      </c>
      <c r="L259" s="100"/>
    </row>
    <row r="260" spans="1:12" x14ac:dyDescent="0.3">
      <c r="A260" s="22" t="str">
        <f>VLOOKUP(WEEKDAY(B260),Data!$A$2:$B$8,2)</f>
        <v>Sunday</v>
      </c>
      <c r="B260" s="4">
        <f t="shared" si="18"/>
        <v>43352</v>
      </c>
      <c r="C260" s="70"/>
      <c r="D260" s="75"/>
      <c r="E260" s="102"/>
      <c r="F260" s="70"/>
      <c r="G260" s="71"/>
      <c r="H260" s="71"/>
      <c r="I260" s="71"/>
      <c r="J260" s="72">
        <f t="shared" si="17"/>
        <v>621596.90000000037</v>
      </c>
      <c r="L260" s="100"/>
    </row>
    <row r="261" spans="1:12" x14ac:dyDescent="0.3">
      <c r="A261" s="22" t="str">
        <f>VLOOKUP(WEEKDAY(B261),Data!$A$2:$B$8,2)</f>
        <v>Monday</v>
      </c>
      <c r="B261" s="4">
        <f t="shared" si="18"/>
        <v>43353</v>
      </c>
      <c r="C261" s="82">
        <f>Data!$D$16</f>
        <v>73000</v>
      </c>
      <c r="D261" s="75"/>
      <c r="E261" s="71"/>
      <c r="F261" s="70"/>
      <c r="G261" s="71"/>
      <c r="H261" s="71"/>
      <c r="I261" s="71"/>
      <c r="J261" s="72">
        <f>J260+SUM(C261:E261)-SUM(F261:I261)</f>
        <v>694596.90000000037</v>
      </c>
      <c r="L261" s="100"/>
    </row>
    <row r="262" spans="1:12" x14ac:dyDescent="0.3">
      <c r="A262" s="22" t="str">
        <f>VLOOKUP(WEEKDAY(B262),Data!$A$2:$B$8,2)</f>
        <v>Tuesday</v>
      </c>
      <c r="B262" s="4">
        <f t="shared" si="18"/>
        <v>43354</v>
      </c>
      <c r="C262" s="82"/>
      <c r="D262" s="75"/>
      <c r="E262" s="71"/>
      <c r="F262" s="108"/>
      <c r="G262" s="71"/>
      <c r="H262" s="71"/>
      <c r="I262" s="71"/>
      <c r="J262" s="72">
        <f>J261+SUM(C262:E262)-SUM(F262:I262)</f>
        <v>694596.90000000037</v>
      </c>
    </row>
    <row r="263" spans="1:12" x14ac:dyDescent="0.3">
      <c r="A263" t="str">
        <f>VLOOKUP(WEEKDAY(B263),Data!$A$2:$B$8,2)</f>
        <v>Wednesday</v>
      </c>
      <c r="B263" s="4">
        <f t="shared" si="18"/>
        <v>43355</v>
      </c>
      <c r="C263" s="82"/>
      <c r="D263" s="75"/>
      <c r="F263" s="70"/>
      <c r="G263" s="71"/>
      <c r="J263" s="72">
        <f t="shared" si="17"/>
        <v>694596.90000000037</v>
      </c>
    </row>
    <row r="264" spans="1:12" x14ac:dyDescent="0.3">
      <c r="A264" t="str">
        <f>VLOOKUP(WEEKDAY(B264),Data!$A$2:$B$8,2)</f>
        <v>Thursday</v>
      </c>
      <c r="B264" s="4">
        <f t="shared" si="18"/>
        <v>43356</v>
      </c>
      <c r="C264" s="70"/>
      <c r="D264" s="75"/>
      <c r="E264" s="71"/>
      <c r="F264" s="70"/>
      <c r="G264" s="71"/>
      <c r="H264" s="102">
        <f>Data!$I$41</f>
        <v>8000</v>
      </c>
      <c r="I264" s="102">
        <f>Data!$I$52</f>
        <v>53000</v>
      </c>
      <c r="J264" s="72">
        <f>J263+SUM(C264:E264)-SUM(F264:I264)</f>
        <v>633596.90000000037</v>
      </c>
    </row>
    <row r="265" spans="1:12" x14ac:dyDescent="0.3">
      <c r="A265" t="str">
        <f>VLOOKUP(WEEKDAY(B265),Data!$A$2:$B$8,2)</f>
        <v>Friday</v>
      </c>
      <c r="B265" s="4">
        <f t="shared" si="18"/>
        <v>43357</v>
      </c>
      <c r="C265" s="70"/>
      <c r="D265" s="75"/>
      <c r="E265" s="102">
        <f>Data!$D$44</f>
        <v>6000</v>
      </c>
      <c r="F265" s="70"/>
      <c r="G265" s="71"/>
      <c r="J265" s="72">
        <f t="shared" si="17"/>
        <v>639596.90000000037</v>
      </c>
    </row>
    <row r="266" spans="1:12" x14ac:dyDescent="0.3">
      <c r="A266" s="19" t="str">
        <f>VLOOKUP(WEEKDAY(B266),Data!$A$2:$B$8,2)</f>
        <v>Saturday</v>
      </c>
      <c r="B266" s="60">
        <f t="shared" si="18"/>
        <v>43358</v>
      </c>
      <c r="C266" s="84"/>
      <c r="D266" s="252"/>
      <c r="E266" s="146"/>
      <c r="F266" s="84"/>
      <c r="G266" s="85"/>
      <c r="H266" s="146"/>
      <c r="I266" s="146"/>
      <c r="J266" s="86">
        <f t="shared" si="17"/>
        <v>639596.90000000037</v>
      </c>
    </row>
    <row r="267" spans="1:12" x14ac:dyDescent="0.3">
      <c r="A267" s="22" t="str">
        <f>VLOOKUP(WEEKDAY(B267),Data!$A$2:$B$8,2)</f>
        <v>Sunday</v>
      </c>
      <c r="B267" s="4">
        <f t="shared" si="18"/>
        <v>43359</v>
      </c>
      <c r="C267" s="70"/>
      <c r="D267" s="75"/>
      <c r="E267" s="102"/>
      <c r="F267" s="70"/>
      <c r="G267" s="71"/>
      <c r="H267" s="71"/>
      <c r="I267" s="71"/>
      <c r="J267" s="72">
        <f t="shared" si="17"/>
        <v>639596.90000000037</v>
      </c>
    </row>
    <row r="268" spans="1:12" x14ac:dyDescent="0.3">
      <c r="A268" s="22" t="str">
        <f>VLOOKUP(WEEKDAY(B268),Data!$A$2:$B$8,2)</f>
        <v>Monday</v>
      </c>
      <c r="B268" s="4">
        <f t="shared" si="18"/>
        <v>43360</v>
      </c>
      <c r="C268" s="70"/>
      <c r="D268" s="75"/>
      <c r="E268" s="71"/>
      <c r="F268" s="70"/>
      <c r="G268" s="71"/>
      <c r="H268" s="71"/>
      <c r="I268" s="71"/>
      <c r="J268" s="72">
        <f>J267+SUM(C268:E268)-SUM(F268:I268)</f>
        <v>639596.90000000037</v>
      </c>
    </row>
    <row r="269" spans="1:12" x14ac:dyDescent="0.3">
      <c r="A269" s="22" t="str">
        <f>VLOOKUP(WEEKDAY(B269),Data!$A$2:$B$8,2)</f>
        <v>Tuesday</v>
      </c>
      <c r="B269" s="4">
        <f t="shared" si="18"/>
        <v>43361</v>
      </c>
      <c r="C269" s="70"/>
      <c r="D269" s="75"/>
      <c r="E269" s="71"/>
      <c r="F269" s="70"/>
      <c r="G269" s="71"/>
      <c r="H269" s="71"/>
      <c r="I269" s="71"/>
      <c r="J269" s="72">
        <f>J268+SUM(C269:E269)-SUM(F269:I269)</f>
        <v>639596.90000000037</v>
      </c>
    </row>
    <row r="270" spans="1:12" x14ac:dyDescent="0.3">
      <c r="A270" t="str">
        <f>VLOOKUP(WEEKDAY(B270),Data!$A$2:$B$8,2)</f>
        <v>Wednesday</v>
      </c>
      <c r="B270" s="4">
        <f t="shared" si="18"/>
        <v>43362</v>
      </c>
      <c r="C270" s="70"/>
      <c r="D270" s="75"/>
      <c r="F270" s="70"/>
      <c r="G270" s="71"/>
      <c r="J270" s="72">
        <f t="shared" si="17"/>
        <v>639596.90000000037</v>
      </c>
    </row>
    <row r="271" spans="1:12" x14ac:dyDescent="0.3">
      <c r="A271" t="str">
        <f>VLOOKUP(WEEKDAY(B271),Data!$A$2:$B$8,2)</f>
        <v>Thursday</v>
      </c>
      <c r="B271" s="4">
        <f t="shared" si="18"/>
        <v>43363</v>
      </c>
      <c r="C271" s="108"/>
      <c r="D271" s="75"/>
      <c r="E271" s="71"/>
      <c r="F271" s="70"/>
      <c r="G271" s="71"/>
      <c r="H271" s="102">
        <f>Data!$I$41</f>
        <v>8000</v>
      </c>
      <c r="I271" s="102">
        <f>Data!$I$52</f>
        <v>53000</v>
      </c>
      <c r="J271" s="72">
        <f>J270+SUM(C271:E271)-SUM(F271:I271)</f>
        <v>578596.90000000037</v>
      </c>
    </row>
    <row r="272" spans="1:12" x14ac:dyDescent="0.3">
      <c r="A272" t="str">
        <f>VLOOKUP(WEEKDAY(B272),Data!$A$2:$B$8,2)</f>
        <v>Friday</v>
      </c>
      <c r="B272" s="4">
        <f t="shared" si="18"/>
        <v>43364</v>
      </c>
      <c r="C272" s="70"/>
      <c r="D272" s="75"/>
      <c r="E272" s="102">
        <f>Data!$D$44</f>
        <v>6000</v>
      </c>
      <c r="F272" s="108">
        <f>Data!$I$25</f>
        <v>687000</v>
      </c>
      <c r="G272" s="71"/>
      <c r="J272" s="72">
        <f t="shared" si="17"/>
        <v>-102403.09999999963</v>
      </c>
    </row>
    <row r="273" spans="1:10" x14ac:dyDescent="0.3">
      <c r="A273" s="19" t="str">
        <f>VLOOKUP(WEEKDAY(B273),Data!$A$2:$B$8,2)</f>
        <v>Saturday</v>
      </c>
      <c r="B273" s="60">
        <f t="shared" si="18"/>
        <v>43365</v>
      </c>
      <c r="C273" s="84"/>
      <c r="D273" s="93"/>
      <c r="E273" s="146"/>
      <c r="F273" s="84"/>
      <c r="G273" s="85"/>
      <c r="H273" s="146"/>
      <c r="I273" s="146"/>
      <c r="J273" s="86">
        <f t="shared" si="17"/>
        <v>-102403.09999999963</v>
      </c>
    </row>
    <row r="274" spans="1:10" x14ac:dyDescent="0.3">
      <c r="A274" s="22" t="str">
        <f>VLOOKUP(WEEKDAY(B274),Data!$A$2:$B$8,2)</f>
        <v>Sunday</v>
      </c>
      <c r="B274" s="4">
        <f t="shared" si="18"/>
        <v>43366</v>
      </c>
      <c r="C274" s="70"/>
      <c r="D274" s="107"/>
      <c r="E274" s="102"/>
      <c r="F274" s="70"/>
      <c r="G274" s="71"/>
      <c r="H274" s="71"/>
      <c r="I274" s="71"/>
      <c r="J274" s="72">
        <f t="shared" si="17"/>
        <v>-102403.09999999963</v>
      </c>
    </row>
    <row r="275" spans="1:10" x14ac:dyDescent="0.3">
      <c r="A275" s="22" t="str">
        <f>VLOOKUP(WEEKDAY(B275),Data!$A$2:$B$8,2)</f>
        <v>Monday</v>
      </c>
      <c r="B275" s="4">
        <f t="shared" si="18"/>
        <v>43367</v>
      </c>
      <c r="C275" s="70"/>
      <c r="D275" s="75"/>
      <c r="E275" s="71"/>
      <c r="F275" s="70"/>
      <c r="G275" s="71"/>
      <c r="H275" s="71"/>
      <c r="I275" s="71"/>
      <c r="J275" s="72">
        <f>J274+SUM(C275:E275)-SUM(F275:I275)</f>
        <v>-102403.09999999963</v>
      </c>
    </row>
    <row r="276" spans="1:10" x14ac:dyDescent="0.3">
      <c r="A276" s="22" t="str">
        <f>VLOOKUP(WEEKDAY(B276),Data!$A$2:$B$8,2)</f>
        <v>Tuesday</v>
      </c>
      <c r="B276" s="4">
        <f t="shared" si="18"/>
        <v>43368</v>
      </c>
      <c r="C276" s="70"/>
      <c r="D276" s="75"/>
      <c r="E276" s="71"/>
      <c r="F276" s="108"/>
      <c r="G276" s="107"/>
      <c r="H276" s="71"/>
      <c r="I276" s="71"/>
      <c r="J276" s="72">
        <f>J275+SUM(C276:E276)-SUM(F276:I276)</f>
        <v>-102403.09999999963</v>
      </c>
    </row>
    <row r="277" spans="1:10" x14ac:dyDescent="0.3">
      <c r="A277" t="str">
        <f>VLOOKUP(WEEKDAY(B277),Data!$A$2:$B$8,2)</f>
        <v>Wednesday</v>
      </c>
      <c r="B277" s="4">
        <f t="shared" si="18"/>
        <v>43369</v>
      </c>
      <c r="C277" s="70"/>
      <c r="D277" s="75"/>
      <c r="F277" s="70"/>
      <c r="G277" s="71"/>
      <c r="J277" s="72">
        <f t="shared" si="17"/>
        <v>-102403.09999999963</v>
      </c>
    </row>
    <row r="278" spans="1:10" x14ac:dyDescent="0.3">
      <c r="A278" t="str">
        <f>VLOOKUP(WEEKDAY(B278),Data!$A$2:$B$8,2)</f>
        <v>Thursday</v>
      </c>
      <c r="B278" s="4">
        <f t="shared" si="18"/>
        <v>43370</v>
      </c>
      <c r="C278" s="70"/>
      <c r="D278" s="75"/>
      <c r="E278" s="71"/>
      <c r="F278" s="70"/>
      <c r="G278" s="285">
        <f>Data!$I$37</f>
        <v>210000</v>
      </c>
      <c r="H278" s="102">
        <f>Data!$I$41</f>
        <v>8000</v>
      </c>
      <c r="I278" s="102">
        <f>Data!$I$52</f>
        <v>53000</v>
      </c>
      <c r="J278" s="72">
        <f>J277+SUM(C278:E278)-SUM(F278:I278)</f>
        <v>-373403.09999999963</v>
      </c>
    </row>
    <row r="279" spans="1:10" x14ac:dyDescent="0.3">
      <c r="A279" t="str">
        <f>VLOOKUP(WEEKDAY(B279),Data!$A$2:$B$8,2)</f>
        <v>Friday</v>
      </c>
      <c r="B279" s="4">
        <f t="shared" si="18"/>
        <v>43371</v>
      </c>
      <c r="C279" s="70"/>
      <c r="D279" s="71">
        <f>Data!$D$22</f>
        <v>0</v>
      </c>
      <c r="E279" s="102">
        <f>Data!$D$44</f>
        <v>6000</v>
      </c>
      <c r="F279" s="70"/>
      <c r="J279" s="72">
        <f t="shared" si="17"/>
        <v>-367403.09999999963</v>
      </c>
    </row>
    <row r="280" spans="1:10" x14ac:dyDescent="0.3">
      <c r="A280" s="19" t="str">
        <f>VLOOKUP(WEEKDAY(B280),Data!$A$2:$B$8,2)</f>
        <v>Saturday</v>
      </c>
      <c r="B280" s="60">
        <f t="shared" si="18"/>
        <v>43372</v>
      </c>
      <c r="C280" s="84"/>
      <c r="D280" s="85"/>
      <c r="E280" s="146"/>
      <c r="F280" s="84"/>
      <c r="G280" s="146"/>
      <c r="H280" s="146"/>
      <c r="I280" s="146"/>
      <c r="J280" s="86">
        <f t="shared" si="17"/>
        <v>-367403.09999999963</v>
      </c>
    </row>
    <row r="281" spans="1:10" x14ac:dyDescent="0.3">
      <c r="A281" s="22" t="str">
        <f>VLOOKUP(WEEKDAY(B281),Data!$A$2:$B$8,2)</f>
        <v>Sunday</v>
      </c>
      <c r="B281" s="4">
        <f t="shared" si="18"/>
        <v>43373</v>
      </c>
      <c r="C281" s="70"/>
      <c r="D281" s="71"/>
      <c r="E281" s="102"/>
      <c r="F281" s="70"/>
      <c r="G281" s="71"/>
      <c r="H281" s="71"/>
      <c r="I281" s="71"/>
      <c r="J281" s="72">
        <f t="shared" si="17"/>
        <v>-367403.09999999963</v>
      </c>
    </row>
    <row r="282" spans="1:10" x14ac:dyDescent="0.3">
      <c r="A282" s="22" t="str">
        <f>VLOOKUP(WEEKDAY(B282),Data!$A$2:$B$8,2)</f>
        <v>Monday</v>
      </c>
      <c r="B282" s="4">
        <f t="shared" si="18"/>
        <v>43374</v>
      </c>
      <c r="C282" s="70"/>
      <c r="D282" s="75"/>
      <c r="E282" s="71"/>
      <c r="F282" s="70"/>
      <c r="G282" s="71"/>
      <c r="H282" s="71"/>
      <c r="I282" s="109"/>
      <c r="J282" s="72">
        <f>J281+SUM(C282:E282)-SUM(F282:I282)</f>
        <v>-367403.09999999963</v>
      </c>
    </row>
    <row r="283" spans="1:10" x14ac:dyDescent="0.3">
      <c r="A283" s="22" t="str">
        <f>VLOOKUP(WEEKDAY(B283),Data!$A$2:$B$8,2)</f>
        <v>Tuesday</v>
      </c>
      <c r="B283" s="4">
        <f t="shared" si="18"/>
        <v>43375</v>
      </c>
      <c r="C283" s="70"/>
      <c r="D283" s="75"/>
      <c r="E283" s="71"/>
      <c r="F283" s="70"/>
      <c r="G283" s="71"/>
      <c r="H283" s="71"/>
      <c r="I283" s="71"/>
      <c r="J283" s="72">
        <f>J282+SUM(C283:E283)-SUM(F283:I283)</f>
        <v>-367403.09999999963</v>
      </c>
    </row>
    <row r="284" spans="1:10" x14ac:dyDescent="0.3">
      <c r="A284" t="str">
        <f>VLOOKUP(WEEKDAY(B284),Data!$A$2:$B$8,2)</f>
        <v>Wednesday</v>
      </c>
      <c r="B284" s="4">
        <f t="shared" si="18"/>
        <v>43376</v>
      </c>
      <c r="C284" s="70"/>
      <c r="D284" s="75"/>
      <c r="F284" s="70"/>
      <c r="G284" s="71"/>
      <c r="J284" s="72">
        <f>J283+SUM(C284:E284)-SUM(F284:I284)</f>
        <v>-367403.09999999963</v>
      </c>
    </row>
    <row r="285" spans="1:10" x14ac:dyDescent="0.3">
      <c r="A285" t="str">
        <f>VLOOKUP(WEEKDAY(B285),Data!$A$2:$B$8,2)</f>
        <v>Thursday</v>
      </c>
      <c r="B285" s="4">
        <f t="shared" si="18"/>
        <v>43377</v>
      </c>
      <c r="C285" s="70"/>
      <c r="D285" s="75"/>
      <c r="E285" s="71"/>
      <c r="F285" s="80"/>
      <c r="G285" s="71"/>
      <c r="H285" s="102">
        <f>Data!$I$41</f>
        <v>8000</v>
      </c>
      <c r="I285" s="102">
        <f>Data!$I$52</f>
        <v>53000</v>
      </c>
      <c r="J285" s="72">
        <f>J284+SUM(C285:E285)-SUM(F285:I285)</f>
        <v>-428403.09999999963</v>
      </c>
    </row>
    <row r="286" spans="1:10" x14ac:dyDescent="0.3">
      <c r="A286" t="str">
        <f>VLOOKUP(WEEKDAY(B286),Data!$A$2:$B$8,2)</f>
        <v>Friday</v>
      </c>
      <c r="B286" s="4">
        <f t="shared" si="18"/>
        <v>43378</v>
      </c>
      <c r="C286" s="70"/>
      <c r="D286" s="75"/>
      <c r="E286" s="102">
        <f>Data!$D$44</f>
        <v>6000</v>
      </c>
      <c r="F286" s="108">
        <f>Data!$I$25</f>
        <v>687000</v>
      </c>
      <c r="G286" s="71"/>
      <c r="J286" s="72">
        <f t="shared" si="17"/>
        <v>-1109403.0999999996</v>
      </c>
    </row>
    <row r="287" spans="1:10" x14ac:dyDescent="0.3">
      <c r="A287" s="19" t="str">
        <f>VLOOKUP(WEEKDAY(B287),Data!$A$2:$B$8,2)</f>
        <v>Saturday</v>
      </c>
      <c r="B287" s="60">
        <f t="shared" si="18"/>
        <v>43379</v>
      </c>
      <c r="C287" s="84"/>
      <c r="D287" s="252"/>
      <c r="E287" s="146"/>
      <c r="F287" s="232"/>
      <c r="G287" s="85"/>
      <c r="H287" s="146"/>
      <c r="I287" s="146"/>
      <c r="J287" s="86">
        <f t="shared" si="17"/>
        <v>-1109403.0999999996</v>
      </c>
    </row>
    <row r="288" spans="1:10" x14ac:dyDescent="0.3">
      <c r="A288" s="22" t="str">
        <f>VLOOKUP(WEEKDAY(B288),Data!$A$2:$B$8,2)</f>
        <v>Sunday</v>
      </c>
      <c r="B288" s="4">
        <f t="shared" si="18"/>
        <v>43380</v>
      </c>
      <c r="C288" s="70"/>
      <c r="D288" s="75"/>
      <c r="E288" s="102"/>
      <c r="F288" s="70"/>
      <c r="G288" s="71"/>
      <c r="H288" s="71"/>
      <c r="I288" s="71"/>
      <c r="J288" s="72">
        <f t="shared" si="17"/>
        <v>-1109403.0999999996</v>
      </c>
    </row>
    <row r="289" spans="1:10" x14ac:dyDescent="0.3">
      <c r="A289" s="22" t="str">
        <f>VLOOKUP(WEEKDAY(B289),Data!$A$2:$B$8,2)</f>
        <v>Monday</v>
      </c>
      <c r="B289" s="4">
        <f t="shared" si="18"/>
        <v>43381</v>
      </c>
      <c r="C289" s="70"/>
      <c r="D289" s="75"/>
      <c r="E289" s="71"/>
      <c r="F289" s="70"/>
      <c r="G289" s="71"/>
      <c r="H289" s="71"/>
      <c r="I289" s="71"/>
      <c r="J289" s="72">
        <f>J288+SUM(C289:E289)-SUM(F289:I289)</f>
        <v>-1109403.0999999996</v>
      </c>
    </row>
    <row r="290" spans="1:10" x14ac:dyDescent="0.3">
      <c r="A290" s="22" t="str">
        <f>VLOOKUP(WEEKDAY(B290),Data!$A$2:$B$8,2)</f>
        <v>Tuesday</v>
      </c>
      <c r="B290" s="4">
        <f t="shared" si="18"/>
        <v>43382</v>
      </c>
      <c r="C290" s="70"/>
      <c r="D290" s="75"/>
      <c r="E290" s="71"/>
      <c r="F290" s="108"/>
      <c r="G290" s="71"/>
      <c r="H290" s="71"/>
      <c r="I290" s="71"/>
      <c r="J290" s="72">
        <f t="shared" si="17"/>
        <v>-1109403.0999999996</v>
      </c>
    </row>
    <row r="291" spans="1:10" x14ac:dyDescent="0.3">
      <c r="A291" t="str">
        <f>VLOOKUP(WEEKDAY(B291),Data!$A$2:$B$8,2)</f>
        <v>Wednesday</v>
      </c>
      <c r="B291" s="4">
        <f t="shared" si="18"/>
        <v>43383</v>
      </c>
      <c r="C291" s="82">
        <f>Data!$D$16</f>
        <v>73000</v>
      </c>
      <c r="D291" s="75"/>
      <c r="E291" s="71"/>
      <c r="F291" s="70"/>
      <c r="G291" s="71"/>
      <c r="J291" s="72">
        <f t="shared" si="17"/>
        <v>-1036403.0999999996</v>
      </c>
    </row>
    <row r="292" spans="1:10" x14ac:dyDescent="0.3">
      <c r="A292" t="str">
        <f>VLOOKUP(WEEKDAY(B292),Data!$A$2:$B$8,2)</f>
        <v>Thursday</v>
      </c>
      <c r="B292" s="4">
        <f t="shared" si="18"/>
        <v>43384</v>
      </c>
      <c r="C292" s="70"/>
      <c r="D292" s="75"/>
      <c r="E292" s="71"/>
      <c r="F292" s="70"/>
      <c r="G292" s="71"/>
      <c r="H292" s="102">
        <f>Data!$I$41</f>
        <v>8000</v>
      </c>
      <c r="I292" s="102">
        <f>Data!$I$52</f>
        <v>53000</v>
      </c>
      <c r="J292" s="72">
        <f>J291+SUM(C292:E292)-SUM(F292:I292)</f>
        <v>-1097403.0999999996</v>
      </c>
    </row>
    <row r="293" spans="1:10" x14ac:dyDescent="0.3">
      <c r="A293" t="str">
        <f>VLOOKUP(WEEKDAY(B293),Data!$A$2:$B$8,2)</f>
        <v>Friday</v>
      </c>
      <c r="B293" s="4">
        <f t="shared" si="18"/>
        <v>43385</v>
      </c>
      <c r="C293" s="82"/>
      <c r="D293" s="75"/>
      <c r="E293" s="102">
        <f>Data!$D$44</f>
        <v>6000</v>
      </c>
      <c r="F293" s="70"/>
      <c r="G293" s="71"/>
      <c r="J293" s="72">
        <f t="shared" si="17"/>
        <v>-1091403.0999999996</v>
      </c>
    </row>
    <row r="294" spans="1:10" x14ac:dyDescent="0.3">
      <c r="A294" s="19" t="str">
        <f>VLOOKUP(WEEKDAY(B294),Data!$A$2:$B$8,2)</f>
        <v>Saturday</v>
      </c>
      <c r="B294" s="60">
        <f t="shared" si="18"/>
        <v>43386</v>
      </c>
      <c r="C294" s="84"/>
      <c r="D294" s="252"/>
      <c r="E294" s="146"/>
      <c r="F294" s="84"/>
      <c r="G294" s="85"/>
      <c r="H294" s="146"/>
      <c r="I294" s="146"/>
      <c r="J294" s="86">
        <f t="shared" si="17"/>
        <v>-1091403.0999999996</v>
      </c>
    </row>
    <row r="295" spans="1:10" x14ac:dyDescent="0.3">
      <c r="A295" s="22" t="str">
        <f>VLOOKUP(WEEKDAY(B295),Data!$A$2:$B$8,2)</f>
        <v>Sunday</v>
      </c>
      <c r="B295" s="4">
        <f t="shared" si="18"/>
        <v>43387</v>
      </c>
      <c r="C295" s="70"/>
      <c r="D295" s="75"/>
      <c r="E295" s="102"/>
      <c r="F295" s="70"/>
      <c r="G295" s="71"/>
      <c r="H295" s="71"/>
      <c r="I295" s="71"/>
      <c r="J295" s="72">
        <f t="shared" si="17"/>
        <v>-1091403.0999999996</v>
      </c>
    </row>
    <row r="296" spans="1:10" x14ac:dyDescent="0.3">
      <c r="A296" s="22" t="str">
        <f>VLOOKUP(WEEKDAY(B296),Data!$A$2:$B$8,2)</f>
        <v>Monday</v>
      </c>
      <c r="B296" s="4">
        <f t="shared" si="18"/>
        <v>43388</v>
      </c>
      <c r="C296" s="70"/>
      <c r="D296" s="75"/>
      <c r="E296" s="71"/>
      <c r="F296" s="70"/>
      <c r="G296" s="71"/>
      <c r="H296" s="71"/>
      <c r="I296" s="71"/>
      <c r="J296" s="72">
        <f>J295+SUM(C296:E296)-SUM(F296:I296)</f>
        <v>-1091403.0999999996</v>
      </c>
    </row>
    <row r="297" spans="1:10" x14ac:dyDescent="0.3">
      <c r="A297" s="22" t="str">
        <f>VLOOKUP(WEEKDAY(B297),Data!$A$2:$B$8,2)</f>
        <v>Tuesday</v>
      </c>
      <c r="B297" s="4">
        <f t="shared" si="18"/>
        <v>43389</v>
      </c>
      <c r="C297" s="70"/>
      <c r="D297" s="75"/>
      <c r="E297" s="71"/>
      <c r="F297" s="70"/>
      <c r="G297" s="71"/>
      <c r="H297" s="71"/>
      <c r="I297" s="71"/>
      <c r="J297" s="72">
        <f>J296+SUM(C297:E297)-SUM(F297:I297)</f>
        <v>-1091403.0999999996</v>
      </c>
    </row>
    <row r="298" spans="1:10" x14ac:dyDescent="0.3">
      <c r="A298" t="str">
        <f>VLOOKUP(WEEKDAY(B298),Data!$A$2:$B$8,2)</f>
        <v>Wednesday</v>
      </c>
      <c r="B298" s="4">
        <f t="shared" si="18"/>
        <v>43390</v>
      </c>
      <c r="C298" s="70"/>
      <c r="D298" s="75"/>
      <c r="F298" s="70"/>
      <c r="G298" s="71"/>
      <c r="J298" s="72">
        <f t="shared" si="17"/>
        <v>-1091403.0999999996</v>
      </c>
    </row>
    <row r="299" spans="1:10" x14ac:dyDescent="0.3">
      <c r="A299" t="str">
        <f>VLOOKUP(WEEKDAY(B299),Data!$A$2:$B$8,2)</f>
        <v>Thursday</v>
      </c>
      <c r="B299" s="4">
        <f t="shared" si="18"/>
        <v>43391</v>
      </c>
      <c r="C299" s="70"/>
      <c r="D299" s="75"/>
      <c r="E299" s="71"/>
      <c r="F299" s="70"/>
      <c r="G299" s="71"/>
      <c r="H299" s="102">
        <f>Data!$I$41</f>
        <v>8000</v>
      </c>
      <c r="I299" s="102">
        <f>Data!$I$52</f>
        <v>53000</v>
      </c>
      <c r="J299" s="72">
        <f>J298+SUM(C299:E299)-SUM(F299:I299)</f>
        <v>-1152403.0999999996</v>
      </c>
    </row>
    <row r="300" spans="1:10" x14ac:dyDescent="0.3">
      <c r="A300" t="str">
        <f>VLOOKUP(WEEKDAY(B300),Data!$A$2:$B$8,2)</f>
        <v>Friday</v>
      </c>
      <c r="B300" s="4">
        <f t="shared" si="18"/>
        <v>43392</v>
      </c>
      <c r="C300" s="70"/>
      <c r="D300" s="75"/>
      <c r="E300" s="102">
        <f>Data!$D$44</f>
        <v>6000</v>
      </c>
      <c r="F300" s="108">
        <f>Data!$I$25</f>
        <v>687000</v>
      </c>
      <c r="G300" s="71"/>
      <c r="J300" s="287">
        <f t="shared" si="17"/>
        <v>-1833403.0999999996</v>
      </c>
    </row>
    <row r="301" spans="1:10" x14ac:dyDescent="0.3">
      <c r="A301" s="19" t="str">
        <f>VLOOKUP(WEEKDAY(B301),Data!$A$2:$B$8,2)</f>
        <v>Saturday</v>
      </c>
      <c r="B301" s="60">
        <f t="shared" si="18"/>
        <v>43393</v>
      </c>
      <c r="C301" s="232"/>
      <c r="D301" s="252"/>
      <c r="E301" s="146"/>
      <c r="F301" s="232"/>
      <c r="G301" s="85"/>
      <c r="H301" s="146"/>
      <c r="I301" s="146"/>
      <c r="J301" s="86">
        <f t="shared" si="17"/>
        <v>-1833403.0999999996</v>
      </c>
    </row>
    <row r="302" spans="1:10" x14ac:dyDescent="0.3">
      <c r="A302" s="22" t="str">
        <f>VLOOKUP(WEEKDAY(B302),Data!$A$2:$B$8,2)</f>
        <v>Sunday</v>
      </c>
      <c r="B302" s="4">
        <f t="shared" si="18"/>
        <v>43394</v>
      </c>
      <c r="C302" s="70"/>
      <c r="D302" s="75"/>
      <c r="E302" s="102"/>
      <c r="F302" s="108"/>
      <c r="G302" s="71"/>
      <c r="H302" s="71"/>
      <c r="I302" s="71"/>
      <c r="J302" s="72">
        <f t="shared" si="17"/>
        <v>-1833403.0999999996</v>
      </c>
    </row>
    <row r="303" spans="1:10" x14ac:dyDescent="0.3">
      <c r="A303" s="22" t="str">
        <f>VLOOKUP(WEEKDAY(B303),Data!$A$2:$B$8,2)</f>
        <v>Monday</v>
      </c>
      <c r="B303" s="4">
        <f t="shared" si="18"/>
        <v>43395</v>
      </c>
      <c r="C303" s="70">
        <f>Data!$D$12</f>
        <v>1614000</v>
      </c>
      <c r="D303" s="75"/>
      <c r="E303" s="71"/>
      <c r="F303" s="70"/>
      <c r="G303" s="71"/>
      <c r="H303" s="71"/>
      <c r="I303" s="71"/>
      <c r="J303" s="72">
        <f>J302+SUM(C303:E303)-SUM(F303:I303)</f>
        <v>-219403.09999999963</v>
      </c>
    </row>
    <row r="304" spans="1:10" x14ac:dyDescent="0.3">
      <c r="A304" s="22" t="str">
        <f>VLOOKUP(WEEKDAY(B304),Data!$A$2:$B$8,2)</f>
        <v>Tuesday</v>
      </c>
      <c r="B304" s="4">
        <f t="shared" si="18"/>
        <v>43396</v>
      </c>
      <c r="C304" s="70"/>
      <c r="D304" s="75"/>
      <c r="E304" s="71"/>
      <c r="F304" s="108"/>
      <c r="G304" s="71"/>
      <c r="H304" s="71"/>
      <c r="I304" s="71"/>
      <c r="J304" s="72">
        <f>J303+SUM(C304:E304)-SUM(F304:I304)</f>
        <v>-219403.09999999963</v>
      </c>
    </row>
    <row r="305" spans="1:10" x14ac:dyDescent="0.3">
      <c r="A305" t="str">
        <f>VLOOKUP(WEEKDAY(B305),Data!$A$2:$B$8,2)</f>
        <v>Wednesday</v>
      </c>
      <c r="B305" s="4">
        <f t="shared" si="18"/>
        <v>43397</v>
      </c>
      <c r="C305" s="70"/>
      <c r="D305" s="75"/>
      <c r="F305" s="70"/>
      <c r="G305" s="71"/>
      <c r="J305" s="72">
        <f t="shared" si="17"/>
        <v>-219403.09999999963</v>
      </c>
    </row>
    <row r="306" spans="1:10" x14ac:dyDescent="0.3">
      <c r="A306" t="str">
        <f>VLOOKUP(WEEKDAY(B306),Data!$A$2:$B$8,2)</f>
        <v>Thursday</v>
      </c>
      <c r="B306" s="4">
        <f t="shared" si="18"/>
        <v>43398</v>
      </c>
      <c r="C306" s="70"/>
      <c r="D306" s="75"/>
      <c r="E306" s="71"/>
      <c r="F306" s="70"/>
      <c r="G306" s="285">
        <f>Data!$I$37</f>
        <v>210000</v>
      </c>
      <c r="H306" s="102">
        <f>Data!$I$41</f>
        <v>8000</v>
      </c>
      <c r="I306" s="102">
        <f>Data!$I$52</f>
        <v>53000</v>
      </c>
      <c r="J306" s="72">
        <f>J305+SUM(C306:E306)-SUM(F306:I306)</f>
        <v>-490403.09999999963</v>
      </c>
    </row>
    <row r="307" spans="1:10" x14ac:dyDescent="0.3">
      <c r="A307" t="str">
        <f>VLOOKUP(WEEKDAY(B307),Data!$A$2:$B$8,2)</f>
        <v>Friday</v>
      </c>
      <c r="B307" s="4">
        <f t="shared" si="18"/>
        <v>43399</v>
      </c>
      <c r="C307" s="70"/>
      <c r="D307" s="75"/>
      <c r="E307" s="102">
        <f>Data!$D$44</f>
        <v>6000</v>
      </c>
      <c r="F307" s="70"/>
      <c r="J307" s="72">
        <f t="shared" si="17"/>
        <v>-484403.09999999963</v>
      </c>
    </row>
    <row r="308" spans="1:10" x14ac:dyDescent="0.3">
      <c r="A308" s="19" t="str">
        <f>VLOOKUP(WEEKDAY(B308),Data!$A$2:$B$8,2)</f>
        <v>Saturday</v>
      </c>
      <c r="B308" s="60">
        <f t="shared" si="18"/>
        <v>43400</v>
      </c>
      <c r="C308" s="84"/>
      <c r="D308" s="252"/>
      <c r="E308" s="146"/>
      <c r="F308" s="84"/>
      <c r="G308" s="146"/>
      <c r="H308" s="146"/>
      <c r="I308" s="146"/>
      <c r="J308" s="86">
        <f t="shared" si="17"/>
        <v>-484403.09999999963</v>
      </c>
    </row>
    <row r="309" spans="1:10" x14ac:dyDescent="0.3">
      <c r="A309" s="22" t="str">
        <f>VLOOKUP(WEEKDAY(B309),Data!$A$2:$B$8,2)</f>
        <v>Sunday</v>
      </c>
      <c r="B309" s="4">
        <f t="shared" si="18"/>
        <v>43401</v>
      </c>
      <c r="C309" s="70"/>
      <c r="D309" s="75"/>
      <c r="E309" s="102"/>
      <c r="F309" s="70"/>
      <c r="G309" s="71"/>
      <c r="H309" s="71"/>
      <c r="I309" s="71"/>
      <c r="J309" s="72">
        <f t="shared" si="17"/>
        <v>-484403.09999999963</v>
      </c>
    </row>
    <row r="310" spans="1:10" x14ac:dyDescent="0.3">
      <c r="A310" s="22" t="str">
        <f>VLOOKUP(WEEKDAY(B310),Data!$A$2:$B$8,2)</f>
        <v>Monday</v>
      </c>
      <c r="B310" s="4">
        <f t="shared" si="18"/>
        <v>43402</v>
      </c>
      <c r="C310" s="70"/>
      <c r="D310" s="75"/>
      <c r="E310" s="71"/>
      <c r="F310" s="70"/>
      <c r="G310" s="71"/>
      <c r="H310" s="71"/>
      <c r="I310" s="71"/>
      <c r="J310" s="72">
        <f>J309+SUM(C310:E310)-SUM(F310:I310)</f>
        <v>-484403.09999999963</v>
      </c>
    </row>
    <row r="311" spans="1:10" x14ac:dyDescent="0.3">
      <c r="A311" s="22" t="str">
        <f>VLOOKUP(WEEKDAY(B311),Data!$A$2:$B$8,2)</f>
        <v>Tuesday</v>
      </c>
      <c r="B311" s="4">
        <f t="shared" si="18"/>
        <v>43403</v>
      </c>
      <c r="C311" s="70"/>
      <c r="D311" s="71"/>
      <c r="E311" s="71"/>
      <c r="F311" s="70"/>
      <c r="G311" s="107"/>
      <c r="H311" s="71"/>
      <c r="I311" s="71"/>
      <c r="J311" s="72">
        <f>J310+SUM(C311:E311)-SUM(F311:I311)</f>
        <v>-484403.09999999963</v>
      </c>
    </row>
    <row r="312" spans="1:10" x14ac:dyDescent="0.3">
      <c r="A312" t="str">
        <f>VLOOKUP(WEEKDAY(B312),Data!$A$2:$B$8,2)</f>
        <v>Wednesday</v>
      </c>
      <c r="B312" s="4">
        <f t="shared" si="18"/>
        <v>43404</v>
      </c>
      <c r="C312" s="70"/>
      <c r="D312" s="71">
        <f>Data!$D$23</f>
        <v>0</v>
      </c>
      <c r="F312" s="70"/>
      <c r="G312" s="71"/>
      <c r="H312" s="71"/>
      <c r="I312" s="71"/>
      <c r="J312" s="72">
        <f t="shared" si="17"/>
        <v>-484403.09999999963</v>
      </c>
    </row>
    <row r="313" spans="1:10" x14ac:dyDescent="0.3">
      <c r="A313" s="22" t="str">
        <f>VLOOKUP(WEEKDAY(B313),Data!$A$2:$B$8,2)</f>
        <v>Thursday</v>
      </c>
      <c r="B313" s="4">
        <f t="shared" si="18"/>
        <v>43405</v>
      </c>
      <c r="C313" s="70"/>
      <c r="D313" s="75"/>
      <c r="E313" s="109"/>
      <c r="F313" s="70"/>
      <c r="G313" s="71"/>
      <c r="H313" s="102">
        <f>Data!$I$41</f>
        <v>8000</v>
      </c>
      <c r="I313" s="102">
        <f>Data!$I$52</f>
        <v>53000</v>
      </c>
      <c r="J313" s="72">
        <f>J312+SUM(C313:E313)-SUM(F313:I313)</f>
        <v>-545403.09999999963</v>
      </c>
    </row>
    <row r="314" spans="1:10" x14ac:dyDescent="0.3">
      <c r="A314" t="str">
        <f>VLOOKUP(WEEKDAY(B314),Data!$A$2:$B$8,2)</f>
        <v>Friday</v>
      </c>
      <c r="B314" s="4">
        <f t="shared" si="18"/>
        <v>43406</v>
      </c>
      <c r="C314" s="70"/>
      <c r="D314" s="75"/>
      <c r="E314" s="102">
        <f>Data!$D$44</f>
        <v>6000</v>
      </c>
      <c r="F314" s="70"/>
      <c r="G314" s="71"/>
      <c r="J314" s="72">
        <f t="shared" si="17"/>
        <v>-539403.09999999963</v>
      </c>
    </row>
    <row r="315" spans="1:10" x14ac:dyDescent="0.3">
      <c r="A315" s="19" t="str">
        <f>VLOOKUP(WEEKDAY(B315),Data!$A$2:$B$8,2)</f>
        <v>Saturday</v>
      </c>
      <c r="B315" s="60">
        <f t="shared" si="18"/>
        <v>43407</v>
      </c>
      <c r="C315" s="84"/>
      <c r="D315" s="252"/>
      <c r="E315" s="146"/>
      <c r="F315" s="84"/>
      <c r="G315" s="85"/>
      <c r="H315" s="146"/>
      <c r="I315" s="146"/>
      <c r="J315" s="86">
        <f t="shared" si="17"/>
        <v>-539403.09999999963</v>
      </c>
    </row>
    <row r="316" spans="1:10" x14ac:dyDescent="0.3">
      <c r="A316" s="22" t="str">
        <f>VLOOKUP(WEEKDAY(B316),Data!$A$2:$B$8,2)</f>
        <v>Sunday</v>
      </c>
      <c r="B316" s="4">
        <f t="shared" si="18"/>
        <v>43408</v>
      </c>
      <c r="C316" s="70"/>
      <c r="D316" s="75"/>
      <c r="E316" s="102"/>
      <c r="F316" s="108"/>
      <c r="G316" s="71"/>
      <c r="H316" s="71"/>
      <c r="I316" s="71"/>
      <c r="J316" s="72">
        <f t="shared" ref="J316:J379" si="19">J315+SUM(C316:E316)-SUM(F316:I316)</f>
        <v>-539403.09999999963</v>
      </c>
    </row>
    <row r="317" spans="1:10" x14ac:dyDescent="0.3">
      <c r="A317" s="22" t="str">
        <f>VLOOKUP(WEEKDAY(B317),Data!$A$2:$B$8,2)</f>
        <v>Monday</v>
      </c>
      <c r="B317" s="4">
        <f t="shared" si="18"/>
        <v>43409</v>
      </c>
      <c r="C317" s="70"/>
      <c r="D317" s="75"/>
      <c r="E317" s="71"/>
      <c r="F317" s="70"/>
      <c r="G317" s="71"/>
      <c r="H317" s="71"/>
      <c r="I317" s="71"/>
      <c r="J317" s="72">
        <f t="shared" si="19"/>
        <v>-539403.09999999963</v>
      </c>
    </row>
    <row r="318" spans="1:10" x14ac:dyDescent="0.3">
      <c r="A318" s="22" t="str">
        <f>VLOOKUP(WEEKDAY(B318),Data!$A$2:$B$8,2)</f>
        <v>Tuesday</v>
      </c>
      <c r="B318" s="4">
        <f t="shared" si="18"/>
        <v>43410</v>
      </c>
      <c r="C318" s="70"/>
      <c r="D318" s="75"/>
      <c r="E318" s="71"/>
      <c r="F318" s="108">
        <f>Data!$I$25</f>
        <v>687000</v>
      </c>
      <c r="G318" s="71"/>
      <c r="H318" s="71"/>
      <c r="I318" s="71"/>
      <c r="J318" s="72">
        <f>J317+SUM(C318:E318)-SUM(F318:I318)</f>
        <v>-1226403.0999999996</v>
      </c>
    </row>
    <row r="319" spans="1:10" x14ac:dyDescent="0.3">
      <c r="A319" t="str">
        <f>VLOOKUP(WEEKDAY(B319),Data!$A$2:$B$8,2)</f>
        <v>Wednesday</v>
      </c>
      <c r="B319" s="4">
        <f t="shared" ref="B319:B382" si="20">B318+1</f>
        <v>43411</v>
      </c>
      <c r="C319" s="70"/>
      <c r="D319" s="75"/>
      <c r="F319" s="70"/>
      <c r="G319" s="71"/>
      <c r="H319" s="71"/>
      <c r="I319" s="71"/>
      <c r="J319" s="72">
        <f t="shared" si="19"/>
        <v>-1226403.0999999996</v>
      </c>
    </row>
    <row r="320" spans="1:10" x14ac:dyDescent="0.3">
      <c r="A320" t="str">
        <f>VLOOKUP(WEEKDAY(B320),Data!$A$2:$B$8,2)</f>
        <v>Thursday</v>
      </c>
      <c r="B320" s="4">
        <f t="shared" si="20"/>
        <v>43412</v>
      </c>
      <c r="C320" s="70"/>
      <c r="D320" s="75"/>
      <c r="E320" s="71"/>
      <c r="F320" s="70"/>
      <c r="G320" s="71"/>
      <c r="H320" s="102">
        <f>Data!$I$41</f>
        <v>8000</v>
      </c>
      <c r="I320" s="102">
        <f>Data!$I$52</f>
        <v>53000</v>
      </c>
      <c r="J320" s="72">
        <f>J319+SUM(C320:E320)-SUM(F320:I320)</f>
        <v>-1287403.0999999996</v>
      </c>
    </row>
    <row r="321" spans="1:11" x14ac:dyDescent="0.3">
      <c r="A321" t="str">
        <f>VLOOKUP(WEEKDAY(B321),Data!$A$2:$B$8,2)</f>
        <v>Friday</v>
      </c>
      <c r="B321" s="4">
        <f t="shared" si="20"/>
        <v>43413</v>
      </c>
      <c r="C321" s="70"/>
      <c r="D321" s="75"/>
      <c r="E321" s="102">
        <f>Data!$D$44</f>
        <v>6000</v>
      </c>
      <c r="F321" s="70"/>
      <c r="G321" s="71"/>
      <c r="J321" s="72">
        <f t="shared" si="19"/>
        <v>-1281403.0999999996</v>
      </c>
    </row>
    <row r="322" spans="1:11" x14ac:dyDescent="0.3">
      <c r="A322" s="19" t="str">
        <f>VLOOKUP(WEEKDAY(B322),Data!$A$2:$B$8,2)</f>
        <v>Saturday</v>
      </c>
      <c r="B322" s="60">
        <f t="shared" si="20"/>
        <v>43414</v>
      </c>
      <c r="C322" s="253"/>
      <c r="D322" s="252"/>
      <c r="E322" s="146"/>
      <c r="F322" s="84"/>
      <c r="G322" s="85"/>
      <c r="H322" s="146"/>
      <c r="I322" s="146"/>
      <c r="J322" s="86">
        <f t="shared" si="19"/>
        <v>-1281403.0999999996</v>
      </c>
    </row>
    <row r="323" spans="1:11" x14ac:dyDescent="0.3">
      <c r="A323" s="22" t="str">
        <f>VLOOKUP(WEEKDAY(B323),Data!$A$2:$B$8,2)</f>
        <v>Sunday</v>
      </c>
      <c r="B323" s="4">
        <f t="shared" si="20"/>
        <v>43415</v>
      </c>
      <c r="C323" s="82"/>
      <c r="D323" s="75"/>
      <c r="E323" s="102"/>
      <c r="F323" s="70"/>
      <c r="G323" s="71"/>
      <c r="H323" s="71"/>
      <c r="I323" s="71"/>
      <c r="J323" s="72">
        <f t="shared" si="19"/>
        <v>-1281403.0999999996</v>
      </c>
    </row>
    <row r="324" spans="1:11" x14ac:dyDescent="0.3">
      <c r="A324" s="22" t="str">
        <f>VLOOKUP(WEEKDAY(B324),Data!$A$2:$B$8,2)</f>
        <v>Monday</v>
      </c>
      <c r="B324" s="4">
        <f t="shared" si="20"/>
        <v>43416</v>
      </c>
      <c r="C324" s="82">
        <f>Data!$D$16</f>
        <v>73000</v>
      </c>
      <c r="D324" s="75"/>
      <c r="E324" s="71"/>
      <c r="F324" s="70"/>
      <c r="G324" s="71"/>
      <c r="H324" s="71"/>
      <c r="I324" s="71"/>
      <c r="J324" s="72">
        <f t="shared" si="19"/>
        <v>-1208403.0999999996</v>
      </c>
    </row>
    <row r="325" spans="1:11" x14ac:dyDescent="0.3">
      <c r="A325" s="22" t="str">
        <f>VLOOKUP(WEEKDAY(B325),Data!$A$2:$B$8,2)</f>
        <v>Tuesday</v>
      </c>
      <c r="B325" s="4">
        <f t="shared" si="20"/>
        <v>43417</v>
      </c>
      <c r="C325" s="70"/>
      <c r="D325" s="75"/>
      <c r="E325" s="71"/>
      <c r="F325" s="70"/>
      <c r="G325" s="71"/>
      <c r="H325" s="71"/>
      <c r="I325" s="71"/>
      <c r="J325" s="72">
        <f t="shared" si="19"/>
        <v>-1208403.0999999996</v>
      </c>
    </row>
    <row r="326" spans="1:11" x14ac:dyDescent="0.3">
      <c r="A326" t="str">
        <f>VLOOKUP(WEEKDAY(B326),Data!$A$2:$B$8,2)</f>
        <v>Wednesday</v>
      </c>
      <c r="B326" s="4">
        <f t="shared" si="20"/>
        <v>43418</v>
      </c>
      <c r="C326" s="70"/>
      <c r="D326" s="75"/>
      <c r="E326" s="71"/>
      <c r="F326" s="70"/>
      <c r="G326" s="71"/>
      <c r="H326" s="71"/>
      <c r="I326" s="71"/>
      <c r="J326" s="72">
        <f t="shared" si="19"/>
        <v>-1208403.0999999996</v>
      </c>
    </row>
    <row r="327" spans="1:11" x14ac:dyDescent="0.3">
      <c r="A327" t="str">
        <f>VLOOKUP(WEEKDAY(B327),Data!$A$2:$B$8,2)</f>
        <v>Thursday</v>
      </c>
      <c r="B327" s="4">
        <f t="shared" si="20"/>
        <v>43419</v>
      </c>
      <c r="C327" s="70"/>
      <c r="D327" s="75"/>
      <c r="E327" s="71"/>
      <c r="F327" s="70"/>
      <c r="G327" s="71"/>
      <c r="H327" s="102">
        <f>Data!$I$41</f>
        <v>8000</v>
      </c>
      <c r="I327" s="102">
        <f>Data!$I$52</f>
        <v>53000</v>
      </c>
      <c r="J327" s="72">
        <f>J326+SUM(C327:E327)-SUM(F327:I327)</f>
        <v>-1269403.0999999996</v>
      </c>
    </row>
    <row r="328" spans="1:11" x14ac:dyDescent="0.3">
      <c r="A328" t="str">
        <f>VLOOKUP(WEEKDAY(B328),Data!$A$2:$B$8,2)</f>
        <v>Friday</v>
      </c>
      <c r="B328" s="4">
        <f t="shared" si="20"/>
        <v>43420</v>
      </c>
      <c r="C328" s="70"/>
      <c r="D328" s="75"/>
      <c r="E328" s="102">
        <f>Data!$D$44</f>
        <v>6000</v>
      </c>
      <c r="F328" s="70"/>
      <c r="G328" s="71"/>
      <c r="J328" s="72">
        <f t="shared" si="19"/>
        <v>-1263403.0999999996</v>
      </c>
    </row>
    <row r="329" spans="1:11" x14ac:dyDescent="0.3">
      <c r="A329" s="19" t="str">
        <f>VLOOKUP(WEEKDAY(B329),Data!$A$2:$B$8,2)</f>
        <v>Saturday</v>
      </c>
      <c r="B329" s="60">
        <f t="shared" si="20"/>
        <v>43421</v>
      </c>
      <c r="C329" s="84"/>
      <c r="D329" s="252"/>
      <c r="E329" s="146"/>
      <c r="F329" s="84"/>
      <c r="G329" s="85"/>
      <c r="H329" s="146"/>
      <c r="I329" s="146"/>
      <c r="J329" s="86">
        <f t="shared" si="19"/>
        <v>-1263403.0999999996</v>
      </c>
    </row>
    <row r="330" spans="1:11" x14ac:dyDescent="0.3">
      <c r="A330" s="22" t="str">
        <f>VLOOKUP(WEEKDAY(B330),Data!$A$2:$B$8,2)</f>
        <v>Sunday</v>
      </c>
      <c r="B330" s="4">
        <f t="shared" si="20"/>
        <v>43422</v>
      </c>
      <c r="C330" s="70"/>
      <c r="D330" s="75"/>
      <c r="E330" s="102"/>
      <c r="F330" s="70"/>
      <c r="G330" s="71"/>
      <c r="H330" s="71"/>
      <c r="I330" s="71"/>
      <c r="J330" s="72">
        <f t="shared" si="19"/>
        <v>-1263403.0999999996</v>
      </c>
    </row>
    <row r="331" spans="1:11" x14ac:dyDescent="0.3">
      <c r="A331" s="22" t="str">
        <f>VLOOKUP(WEEKDAY(B331),Data!$A$2:$B$8,2)</f>
        <v>Monday</v>
      </c>
      <c r="B331" s="4">
        <f t="shared" si="20"/>
        <v>43423</v>
      </c>
      <c r="C331" s="70"/>
      <c r="D331" s="75"/>
      <c r="E331" s="71"/>
      <c r="F331" s="70"/>
      <c r="G331" s="71"/>
      <c r="H331" s="71"/>
      <c r="I331" s="71"/>
      <c r="J331" s="72">
        <f>J330+SUM(C331:E331)-SUM(F331:I331)</f>
        <v>-1263403.0999999996</v>
      </c>
    </row>
    <row r="332" spans="1:11" x14ac:dyDescent="0.3">
      <c r="A332" s="22" t="str">
        <f>VLOOKUP(WEEKDAY(B332),Data!$A$2:$B$8,2)</f>
        <v>Tuesday</v>
      </c>
      <c r="B332" s="4">
        <f t="shared" si="20"/>
        <v>43424</v>
      </c>
      <c r="C332" s="70">
        <f>Data!$D$12</f>
        <v>1614000</v>
      </c>
      <c r="D332" s="75"/>
      <c r="E332" s="71"/>
      <c r="F332" s="108"/>
      <c r="G332" s="71"/>
      <c r="H332" s="71"/>
      <c r="I332" s="71"/>
      <c r="J332" s="72">
        <f>J331+SUM(C332:E332)-SUM(F332:I332)</f>
        <v>350596.90000000037</v>
      </c>
    </row>
    <row r="333" spans="1:11" x14ac:dyDescent="0.3">
      <c r="A333" t="str">
        <f>VLOOKUP(WEEKDAY(B333),Data!$A$2:$B$8,2)</f>
        <v>Wednesday</v>
      </c>
      <c r="B333" s="4">
        <f t="shared" si="20"/>
        <v>43425</v>
      </c>
      <c r="C333" s="70"/>
      <c r="D333" s="75"/>
      <c r="F333" s="108">
        <f>Data!$I$25</f>
        <v>687000</v>
      </c>
      <c r="G333" s="71"/>
      <c r="J333" s="72">
        <f t="shared" si="19"/>
        <v>-336403.09999999963</v>
      </c>
      <c r="K333" s="261"/>
    </row>
    <row r="334" spans="1:11" x14ac:dyDescent="0.3">
      <c r="A334" t="str">
        <f>VLOOKUP(WEEKDAY(B334),Data!$A$2:$B$8,2)</f>
        <v>Thursday</v>
      </c>
      <c r="B334" s="4">
        <f t="shared" si="20"/>
        <v>43426</v>
      </c>
      <c r="C334" s="70"/>
      <c r="D334" s="75"/>
      <c r="E334" s="71"/>
      <c r="F334" s="70"/>
      <c r="G334" s="285">
        <f>Data!$I$37</f>
        <v>210000</v>
      </c>
      <c r="H334" s="102">
        <f>Data!$I$41</f>
        <v>8000</v>
      </c>
      <c r="I334" s="102">
        <f>Data!$I$52</f>
        <v>53000</v>
      </c>
      <c r="J334" s="72">
        <f>J333+SUM(C334:E334)-SUM(F334:I334)</f>
        <v>-607403.09999999963</v>
      </c>
    </row>
    <row r="335" spans="1:11" x14ac:dyDescent="0.3">
      <c r="A335" t="str">
        <f>VLOOKUP(WEEKDAY(B335),Data!$A$2:$B$8,2)</f>
        <v>Friday</v>
      </c>
      <c r="B335" s="4">
        <f t="shared" si="20"/>
        <v>43427</v>
      </c>
      <c r="C335" s="70"/>
      <c r="D335" s="75"/>
      <c r="E335" s="102">
        <f>Data!$D$44</f>
        <v>6000</v>
      </c>
      <c r="F335" s="70"/>
      <c r="J335" s="72">
        <f t="shared" si="19"/>
        <v>-601403.09999999963</v>
      </c>
    </row>
    <row r="336" spans="1:11" x14ac:dyDescent="0.3">
      <c r="A336" s="19" t="str">
        <f>VLOOKUP(WEEKDAY(B336),Data!$A$2:$B$8,2)</f>
        <v>Saturday</v>
      </c>
      <c r="B336" s="60">
        <f t="shared" si="20"/>
        <v>43428</v>
      </c>
      <c r="C336" s="84"/>
      <c r="D336" s="252"/>
      <c r="E336" s="146"/>
      <c r="F336" s="84"/>
      <c r="G336" s="146"/>
      <c r="H336" s="146"/>
      <c r="I336" s="146"/>
      <c r="J336" s="86">
        <f t="shared" si="19"/>
        <v>-601403.09999999963</v>
      </c>
    </row>
    <row r="337" spans="1:13" x14ac:dyDescent="0.3">
      <c r="A337" s="22" t="str">
        <f>VLOOKUP(WEEKDAY(B337),Data!$A$2:$B$8,2)</f>
        <v>Sunday</v>
      </c>
      <c r="B337" s="4">
        <f t="shared" si="20"/>
        <v>43429</v>
      </c>
      <c r="C337" s="70"/>
      <c r="D337" s="75"/>
      <c r="E337" s="102"/>
      <c r="F337" s="70"/>
      <c r="G337" s="71"/>
      <c r="H337" s="71"/>
      <c r="I337" s="71"/>
      <c r="J337" s="72">
        <f t="shared" si="19"/>
        <v>-601403.09999999963</v>
      </c>
    </row>
    <row r="338" spans="1:13" x14ac:dyDescent="0.3">
      <c r="A338" s="22" t="str">
        <f>VLOOKUP(WEEKDAY(B338),Data!$A$2:$B$8,2)</f>
        <v>Monday</v>
      </c>
      <c r="B338" s="4">
        <f t="shared" si="20"/>
        <v>43430</v>
      </c>
      <c r="C338" s="70"/>
      <c r="D338" s="75"/>
      <c r="E338" s="71"/>
      <c r="F338" s="70"/>
      <c r="G338" s="71"/>
      <c r="H338" s="71"/>
      <c r="I338" s="71"/>
      <c r="J338" s="72">
        <f>J337+SUM(C338:E338)-SUM(F338:I338)</f>
        <v>-601403.09999999963</v>
      </c>
    </row>
    <row r="339" spans="1:13" x14ac:dyDescent="0.3">
      <c r="A339" s="22" t="str">
        <f>VLOOKUP(WEEKDAY(B339),Data!$A$2:$B$8,2)</f>
        <v>Tuesday</v>
      </c>
      <c r="B339" s="4">
        <f t="shared" si="20"/>
        <v>43431</v>
      </c>
      <c r="C339" s="70"/>
      <c r="D339" s="75"/>
      <c r="E339" s="71"/>
      <c r="F339" s="70"/>
      <c r="G339" s="107"/>
      <c r="H339" s="71"/>
      <c r="I339" s="71"/>
      <c r="J339" s="72">
        <f>J338+SUM(C339:E339)-SUM(F339:I339)</f>
        <v>-601403.09999999963</v>
      </c>
    </row>
    <row r="340" spans="1:13" x14ac:dyDescent="0.3">
      <c r="A340" t="str">
        <f>VLOOKUP(WEEKDAY(B340),Data!$A$2:$B$8,2)</f>
        <v>Wednesday</v>
      </c>
      <c r="B340" s="4">
        <f t="shared" si="20"/>
        <v>43432</v>
      </c>
      <c r="C340" s="70"/>
      <c r="D340" s="71"/>
      <c r="F340" s="70"/>
      <c r="G340" s="71"/>
      <c r="J340" s="72">
        <f t="shared" si="19"/>
        <v>-601403.09999999963</v>
      </c>
      <c r="M340">
        <f>192639.39-98075.73</f>
        <v>94563.660000000018</v>
      </c>
    </row>
    <row r="341" spans="1:13" x14ac:dyDescent="0.3">
      <c r="A341" t="str">
        <f>VLOOKUP(WEEKDAY(B341),Data!$A$2:$B$8,2)</f>
        <v>Thursday</v>
      </c>
      <c r="B341" s="4">
        <f t="shared" si="20"/>
        <v>43433</v>
      </c>
      <c r="C341" s="70"/>
      <c r="E341" s="71"/>
      <c r="F341" s="70"/>
      <c r="G341" s="71"/>
      <c r="H341" s="102">
        <f>Data!$I$41</f>
        <v>8000</v>
      </c>
      <c r="I341" s="102">
        <f>Data!$I$52</f>
        <v>53000</v>
      </c>
      <c r="J341" s="72">
        <f>J340+SUM(C341:E341)-SUM(F341:I341)</f>
        <v>-662403.09999999963</v>
      </c>
    </row>
    <row r="342" spans="1:13" x14ac:dyDescent="0.3">
      <c r="A342" t="str">
        <f>VLOOKUP(WEEKDAY(B342),Data!$A$2:$B$8,2)</f>
        <v>Friday</v>
      </c>
      <c r="B342" s="4">
        <f t="shared" si="20"/>
        <v>43434</v>
      </c>
      <c r="C342" s="70"/>
      <c r="D342" s="71">
        <f>Data!$D$24</f>
        <v>0</v>
      </c>
      <c r="E342" s="102">
        <f>Data!$D$44</f>
        <v>6000</v>
      </c>
      <c r="F342" s="70"/>
      <c r="G342" s="71"/>
      <c r="J342" s="72">
        <f t="shared" si="19"/>
        <v>-656403.09999999963</v>
      </c>
      <c r="K342" s="213">
        <f>1079023.17-1500000</f>
        <v>-420976.83000000007</v>
      </c>
    </row>
    <row r="343" spans="1:13" x14ac:dyDescent="0.3">
      <c r="A343" s="19" t="str">
        <f>VLOOKUP(WEEKDAY(B343),Data!$A$2:$B$8,2)</f>
        <v>Saturday</v>
      </c>
      <c r="B343" s="60">
        <f t="shared" si="20"/>
        <v>43435</v>
      </c>
      <c r="C343" s="84"/>
      <c r="D343" s="252"/>
      <c r="E343" s="146"/>
      <c r="F343" s="84"/>
      <c r="G343" s="85"/>
      <c r="H343" s="146"/>
      <c r="I343" s="146"/>
      <c r="J343" s="86">
        <f t="shared" si="19"/>
        <v>-656403.09999999963</v>
      </c>
    </row>
    <row r="344" spans="1:13" x14ac:dyDescent="0.3">
      <c r="A344" s="22" t="str">
        <f>VLOOKUP(WEEKDAY(B344),Data!$A$2:$B$8,2)</f>
        <v>Sunday</v>
      </c>
      <c r="B344" s="4">
        <f t="shared" si="20"/>
        <v>43436</v>
      </c>
      <c r="C344" s="70"/>
      <c r="D344" s="75"/>
      <c r="E344" s="102"/>
      <c r="F344" s="70"/>
      <c r="G344" s="71"/>
      <c r="H344" s="71"/>
      <c r="I344" s="71"/>
      <c r="J344" s="72">
        <f t="shared" si="19"/>
        <v>-656403.09999999963</v>
      </c>
    </row>
    <row r="345" spans="1:13" x14ac:dyDescent="0.3">
      <c r="A345" s="22" t="str">
        <f>VLOOKUP(WEEKDAY(B345),Data!$A$2:$B$8,2)</f>
        <v>Monday</v>
      </c>
      <c r="B345" s="4">
        <f t="shared" si="20"/>
        <v>43437</v>
      </c>
      <c r="C345" s="70"/>
      <c r="D345" s="75"/>
      <c r="E345" s="71"/>
      <c r="F345" s="70"/>
      <c r="G345" s="71"/>
      <c r="H345" s="71"/>
      <c r="I345" s="71"/>
      <c r="J345" s="72">
        <f>J344+SUM(C345:E345)-SUM(F345:I345)</f>
        <v>-656403.09999999963</v>
      </c>
    </row>
    <row r="346" spans="1:13" x14ac:dyDescent="0.3">
      <c r="A346" s="22" t="str">
        <f>VLOOKUP(WEEKDAY(B346),Data!$A$2:$B$8,2)</f>
        <v>Tuesday</v>
      </c>
      <c r="B346" s="4">
        <f t="shared" si="20"/>
        <v>43438</v>
      </c>
      <c r="C346" s="70"/>
      <c r="D346" s="75"/>
      <c r="E346" s="71"/>
      <c r="F346" s="80"/>
      <c r="G346" s="71"/>
      <c r="H346" s="71"/>
      <c r="I346" s="71"/>
      <c r="J346" s="72">
        <f>J345+SUM(C346:E346)-SUM(F346:I346)</f>
        <v>-656403.09999999963</v>
      </c>
    </row>
    <row r="347" spans="1:13" x14ac:dyDescent="0.3">
      <c r="A347" t="str">
        <f>VLOOKUP(WEEKDAY(B347),Data!$A$2:$B$8,2)</f>
        <v>Wednesday</v>
      </c>
      <c r="B347" s="4">
        <f t="shared" si="20"/>
        <v>43439</v>
      </c>
      <c r="C347" s="70"/>
      <c r="D347" s="75"/>
      <c r="F347" s="70"/>
      <c r="G347" s="71"/>
      <c r="J347" s="72">
        <f t="shared" si="19"/>
        <v>-656403.09999999963</v>
      </c>
    </row>
    <row r="348" spans="1:13" x14ac:dyDescent="0.3">
      <c r="A348" t="str">
        <f>VLOOKUP(WEEKDAY(B348),Data!$A$2:$B$8,2)</f>
        <v>Thursday</v>
      </c>
      <c r="B348" s="4">
        <f t="shared" si="20"/>
        <v>43440</v>
      </c>
      <c r="C348" s="70"/>
      <c r="D348" s="75"/>
      <c r="E348" s="71"/>
      <c r="F348" s="108">
        <f>Data!$I$25</f>
        <v>687000</v>
      </c>
      <c r="G348" s="71"/>
      <c r="H348" s="102">
        <f>Data!$I$41</f>
        <v>8000</v>
      </c>
      <c r="I348" s="102">
        <f>Data!$I$52</f>
        <v>53000</v>
      </c>
      <c r="J348" s="72">
        <f>J347+SUM(C348:E348)-SUM(F348:I348)</f>
        <v>-1404403.0999999996</v>
      </c>
    </row>
    <row r="349" spans="1:13" x14ac:dyDescent="0.3">
      <c r="A349" t="str">
        <f>VLOOKUP(WEEKDAY(B349),Data!$A$2:$B$8,2)</f>
        <v>Friday</v>
      </c>
      <c r="B349" s="4">
        <f t="shared" si="20"/>
        <v>43441</v>
      </c>
      <c r="C349" s="70"/>
      <c r="D349" s="75"/>
      <c r="E349" s="102">
        <f>Data!$D$44</f>
        <v>6000</v>
      </c>
      <c r="F349" s="70"/>
      <c r="G349" s="71"/>
      <c r="J349" s="72">
        <f t="shared" si="19"/>
        <v>-1398403.0999999996</v>
      </c>
    </row>
    <row r="350" spans="1:13" x14ac:dyDescent="0.3">
      <c r="A350" s="19" t="str">
        <f>VLOOKUP(WEEKDAY(B350),Data!$A$2:$B$8,2)</f>
        <v>Saturday</v>
      </c>
      <c r="B350" s="60">
        <f t="shared" si="20"/>
        <v>43442</v>
      </c>
      <c r="C350" s="84"/>
      <c r="D350" s="252"/>
      <c r="E350" s="146"/>
      <c r="F350" s="84"/>
      <c r="G350" s="85"/>
      <c r="H350" s="146"/>
      <c r="I350" s="146"/>
      <c r="J350" s="238">
        <f t="shared" si="19"/>
        <v>-1398403.0999999996</v>
      </c>
    </row>
    <row r="351" spans="1:13" x14ac:dyDescent="0.3">
      <c r="A351" s="22" t="str">
        <f>VLOOKUP(WEEKDAY(B351),Data!$A$2:$B$8,2)</f>
        <v>Sunday</v>
      </c>
      <c r="B351" s="4">
        <f t="shared" si="20"/>
        <v>43443</v>
      </c>
      <c r="C351" s="70"/>
      <c r="D351" s="75"/>
      <c r="E351" s="102"/>
      <c r="F351" s="70"/>
      <c r="G351" s="71"/>
      <c r="H351" s="71"/>
      <c r="I351" s="71"/>
      <c r="J351" s="72">
        <f t="shared" si="19"/>
        <v>-1398403.0999999996</v>
      </c>
    </row>
    <row r="352" spans="1:13" x14ac:dyDescent="0.3">
      <c r="A352" s="22" t="str">
        <f>VLOOKUP(WEEKDAY(B352),Data!$A$2:$B$8,2)</f>
        <v>Monday</v>
      </c>
      <c r="B352" s="4">
        <f t="shared" si="20"/>
        <v>43444</v>
      </c>
      <c r="C352" s="82">
        <f>Data!$D$16</f>
        <v>73000</v>
      </c>
      <c r="D352" s="75"/>
      <c r="E352" s="71"/>
      <c r="F352" s="70"/>
      <c r="G352" s="71"/>
      <c r="H352" s="71"/>
      <c r="I352" s="71"/>
      <c r="J352" s="72">
        <f>J351+SUM(C352:E352)-SUM(F352:I352)</f>
        <v>-1325403.0999999996</v>
      </c>
    </row>
    <row r="353" spans="1:10" x14ac:dyDescent="0.3">
      <c r="A353" s="22" t="str">
        <f>VLOOKUP(WEEKDAY(B353),Data!$A$2:$B$8,2)</f>
        <v>Tuesday</v>
      </c>
      <c r="B353" s="4">
        <f t="shared" si="20"/>
        <v>43445</v>
      </c>
      <c r="C353" s="82"/>
      <c r="D353" s="75"/>
      <c r="E353" s="71"/>
      <c r="F353" s="70"/>
      <c r="G353" s="71"/>
      <c r="H353" s="71"/>
      <c r="I353" s="71"/>
      <c r="J353" s="72">
        <f>J352+SUM(C353:E353)-SUM(F353:I353)</f>
        <v>-1325403.0999999996</v>
      </c>
    </row>
    <row r="354" spans="1:10" x14ac:dyDescent="0.3">
      <c r="A354" t="str">
        <f>VLOOKUP(WEEKDAY(B354),Data!$A$2:$B$8,2)</f>
        <v>Wednesday</v>
      </c>
      <c r="B354" s="4">
        <f t="shared" si="20"/>
        <v>43446</v>
      </c>
      <c r="C354" s="82"/>
      <c r="D354" s="75"/>
      <c r="F354" s="70"/>
      <c r="G354" s="71"/>
      <c r="J354" s="72">
        <f t="shared" si="19"/>
        <v>-1325403.0999999996</v>
      </c>
    </row>
    <row r="355" spans="1:10" x14ac:dyDescent="0.3">
      <c r="A355" t="str">
        <f>VLOOKUP(WEEKDAY(B355),Data!$A$2:$B$8,2)</f>
        <v>Thursday</v>
      </c>
      <c r="B355" s="4">
        <f t="shared" si="20"/>
        <v>43447</v>
      </c>
      <c r="C355" s="70"/>
      <c r="D355" s="75"/>
      <c r="E355" s="71"/>
      <c r="F355" s="70"/>
      <c r="G355" s="71"/>
      <c r="H355" s="102">
        <f>Data!$I$41</f>
        <v>8000</v>
      </c>
      <c r="I355" s="102">
        <f>Data!$I$52</f>
        <v>53000</v>
      </c>
      <c r="J355" s="72">
        <f>J354+SUM(C355:E355)-SUM(F355:I355)</f>
        <v>-1386403.0999999996</v>
      </c>
    </row>
    <row r="356" spans="1:10" x14ac:dyDescent="0.3">
      <c r="A356" t="str">
        <f>VLOOKUP(WEEKDAY(B356),Data!$A$2:$B$8,2)</f>
        <v>Friday</v>
      </c>
      <c r="B356" s="4">
        <f t="shared" si="20"/>
        <v>43448</v>
      </c>
      <c r="C356" s="70"/>
      <c r="D356" s="75"/>
      <c r="E356" s="102">
        <f>Data!$D$44</f>
        <v>6000</v>
      </c>
      <c r="F356" s="70"/>
      <c r="G356" s="71"/>
      <c r="J356" s="72">
        <f t="shared" si="19"/>
        <v>-1380403.0999999996</v>
      </c>
    </row>
    <row r="357" spans="1:10" x14ac:dyDescent="0.3">
      <c r="A357" s="19" t="str">
        <f>VLOOKUP(WEEKDAY(B357),Data!$A$2:$B$8,2)</f>
        <v>Saturday</v>
      </c>
      <c r="B357" s="60">
        <f t="shared" si="20"/>
        <v>43449</v>
      </c>
      <c r="C357" s="84"/>
      <c r="D357" s="252"/>
      <c r="E357" s="146"/>
      <c r="F357" s="84"/>
      <c r="G357" s="85"/>
      <c r="H357" s="146"/>
      <c r="I357" s="146"/>
      <c r="J357" s="86">
        <f t="shared" si="19"/>
        <v>-1380403.0999999996</v>
      </c>
    </row>
    <row r="358" spans="1:10" x14ac:dyDescent="0.3">
      <c r="A358" s="22" t="str">
        <f>VLOOKUP(WEEKDAY(B358),Data!$A$2:$B$8,2)</f>
        <v>Sunday</v>
      </c>
      <c r="B358" s="4">
        <f t="shared" si="20"/>
        <v>43450</v>
      </c>
      <c r="C358" s="70"/>
      <c r="D358" s="75"/>
      <c r="E358" s="102"/>
      <c r="F358" s="70"/>
      <c r="G358" s="71"/>
      <c r="H358" s="71"/>
      <c r="I358" s="71"/>
      <c r="J358" s="72">
        <f t="shared" si="19"/>
        <v>-1380403.0999999996</v>
      </c>
    </row>
    <row r="359" spans="1:10" x14ac:dyDescent="0.3">
      <c r="A359" s="22" t="str">
        <f>VLOOKUP(WEEKDAY(B359),Data!$A$2:$B$8,2)</f>
        <v>Monday</v>
      </c>
      <c r="B359" s="4">
        <f t="shared" si="20"/>
        <v>43451</v>
      </c>
      <c r="C359" s="70"/>
      <c r="D359" s="75"/>
      <c r="E359" s="71"/>
      <c r="F359" s="70"/>
      <c r="G359" s="71"/>
      <c r="H359" s="71"/>
      <c r="I359" s="71"/>
      <c r="J359" s="141">
        <f>J358+SUM(C359:E359)-SUM(F359:I359)</f>
        <v>-1380403.0999999996</v>
      </c>
    </row>
    <row r="360" spans="1:10" x14ac:dyDescent="0.3">
      <c r="A360" s="22" t="str">
        <f>VLOOKUP(WEEKDAY(B360),Data!$A$2:$B$8,2)</f>
        <v>Tuesday</v>
      </c>
      <c r="B360" s="4">
        <f t="shared" si="20"/>
        <v>43452</v>
      </c>
      <c r="C360" s="70"/>
      <c r="D360" s="75"/>
      <c r="E360" s="71"/>
      <c r="F360" s="108"/>
      <c r="G360" s="71"/>
      <c r="H360" s="71"/>
      <c r="I360" s="71"/>
      <c r="J360" s="72">
        <f>J359+SUM(C360:E360)-SUM(F360:I360)</f>
        <v>-1380403.0999999996</v>
      </c>
    </row>
    <row r="361" spans="1:10" x14ac:dyDescent="0.3">
      <c r="A361" t="str">
        <f>VLOOKUP(WEEKDAY(B361),Data!$A$2:$B$8,2)</f>
        <v>Wednesday</v>
      </c>
      <c r="B361" s="4">
        <f t="shared" si="20"/>
        <v>43453</v>
      </c>
      <c r="C361" s="70"/>
      <c r="D361" s="75"/>
      <c r="F361" s="70"/>
      <c r="G361" s="71"/>
      <c r="J361" s="72">
        <f t="shared" si="19"/>
        <v>-1380403.0999999996</v>
      </c>
    </row>
    <row r="362" spans="1:10" x14ac:dyDescent="0.3">
      <c r="A362" t="str">
        <f>VLOOKUP(WEEKDAY(B362),Data!$A$2:$B$8,2)</f>
        <v>Thursday</v>
      </c>
      <c r="B362" s="4">
        <f t="shared" si="20"/>
        <v>43454</v>
      </c>
      <c r="C362" s="70">
        <f>Data!$D$12</f>
        <v>1614000</v>
      </c>
      <c r="D362" s="75"/>
      <c r="E362" s="71"/>
      <c r="F362" s="70"/>
      <c r="G362" s="285">
        <f>Data!$I$37</f>
        <v>210000</v>
      </c>
      <c r="H362" s="102">
        <f>Data!$I$41</f>
        <v>8000</v>
      </c>
      <c r="I362" s="102">
        <f>Data!$I$52</f>
        <v>53000</v>
      </c>
      <c r="J362" s="72">
        <f>J361+SUM(C362:E362)-SUM(F362:I362)</f>
        <v>-37403.099999999627</v>
      </c>
    </row>
    <row r="363" spans="1:10" x14ac:dyDescent="0.3">
      <c r="A363" t="str">
        <f>VLOOKUP(WEEKDAY(B363),Data!$A$2:$B$8,2)</f>
        <v>Friday</v>
      </c>
      <c r="B363" s="4">
        <f t="shared" si="20"/>
        <v>43455</v>
      </c>
      <c r="C363" s="80"/>
      <c r="D363" s="75"/>
      <c r="E363" s="102">
        <f>Data!$D$44</f>
        <v>6000</v>
      </c>
      <c r="F363" s="108">
        <f>Data!$I$25</f>
        <v>687000</v>
      </c>
      <c r="J363" s="72">
        <f t="shared" si="19"/>
        <v>-718403.09999999963</v>
      </c>
    </row>
    <row r="364" spans="1:10" x14ac:dyDescent="0.3">
      <c r="A364" s="19" t="str">
        <f>VLOOKUP(WEEKDAY(B364),Data!$A$2:$B$8,2)</f>
        <v>Saturday</v>
      </c>
      <c r="B364" s="60">
        <f t="shared" si="20"/>
        <v>43456</v>
      </c>
      <c r="C364" s="84"/>
      <c r="D364" s="252"/>
      <c r="E364" s="146"/>
      <c r="F364" s="84"/>
      <c r="G364" s="85"/>
      <c r="H364" s="146"/>
      <c r="I364" s="146"/>
      <c r="J364" s="86">
        <f t="shared" si="19"/>
        <v>-718403.09999999963</v>
      </c>
    </row>
    <row r="365" spans="1:10" x14ac:dyDescent="0.3">
      <c r="A365" s="22" t="str">
        <f>VLOOKUP(WEEKDAY(B365),Data!$A$2:$B$8,2)</f>
        <v>Sunday</v>
      </c>
      <c r="B365" s="4">
        <f t="shared" si="20"/>
        <v>43457</v>
      </c>
      <c r="C365" s="70"/>
      <c r="D365" s="75"/>
      <c r="E365" s="102"/>
      <c r="F365" s="70"/>
      <c r="G365" s="71"/>
      <c r="H365" s="71"/>
      <c r="I365" s="71"/>
      <c r="J365" s="72">
        <f t="shared" si="19"/>
        <v>-718403.09999999963</v>
      </c>
    </row>
    <row r="366" spans="1:10" x14ac:dyDescent="0.3">
      <c r="A366" s="22" t="str">
        <f>VLOOKUP(WEEKDAY(B366),Data!$A$2:$B$8,2)</f>
        <v>Monday</v>
      </c>
      <c r="B366" s="4">
        <f t="shared" si="20"/>
        <v>43458</v>
      </c>
      <c r="C366" s="70"/>
      <c r="D366" s="75"/>
      <c r="E366" s="71"/>
      <c r="F366" s="70"/>
      <c r="G366" s="71"/>
      <c r="H366" s="71"/>
      <c r="I366" s="71"/>
      <c r="J366" s="72">
        <f>J365+SUM(C366:E366)-SUM(F366:I366)</f>
        <v>-718403.09999999963</v>
      </c>
    </row>
    <row r="367" spans="1:10" x14ac:dyDescent="0.3">
      <c r="A367" s="22" t="str">
        <f>VLOOKUP(WEEKDAY(B367),Data!$A$2:$B$8,2)</f>
        <v>Tuesday</v>
      </c>
      <c r="B367" s="4">
        <f t="shared" si="20"/>
        <v>43459</v>
      </c>
      <c r="C367" s="70"/>
      <c r="D367" s="75"/>
      <c r="E367" s="71"/>
      <c r="F367" s="70"/>
      <c r="G367" s="71"/>
      <c r="H367" s="71"/>
      <c r="I367" s="71"/>
      <c r="J367" s="72">
        <f>J366+SUM(C367:E367)-SUM(F367:I367)</f>
        <v>-718403.09999999963</v>
      </c>
    </row>
    <row r="368" spans="1:10" x14ac:dyDescent="0.3">
      <c r="A368" t="str">
        <f>VLOOKUP(WEEKDAY(B368),Data!$A$2:$B$8,2)</f>
        <v>Wednesday</v>
      </c>
      <c r="B368" s="4">
        <f t="shared" si="20"/>
        <v>43460</v>
      </c>
      <c r="C368" s="70"/>
      <c r="D368" s="75"/>
      <c r="F368" s="70"/>
      <c r="G368" s="71"/>
      <c r="J368" s="72">
        <f t="shared" si="19"/>
        <v>-718403.09999999963</v>
      </c>
    </row>
    <row r="369" spans="1:13" x14ac:dyDescent="0.3">
      <c r="A369" t="str">
        <f>VLOOKUP(WEEKDAY(B369),Data!$A$2:$B$8,2)</f>
        <v>Thursday</v>
      </c>
      <c r="B369" s="4">
        <f t="shared" si="20"/>
        <v>43461</v>
      </c>
      <c r="C369" s="70"/>
      <c r="D369" s="75"/>
      <c r="E369" s="71"/>
      <c r="F369" s="70"/>
      <c r="G369" s="71"/>
      <c r="H369" s="102">
        <f>Data!$I$41</f>
        <v>8000</v>
      </c>
      <c r="I369" s="102">
        <f>Data!$I$52</f>
        <v>53000</v>
      </c>
      <c r="J369" s="72">
        <f>J368+SUM(C369:E369)-SUM(F369:I369)</f>
        <v>-779403.09999999963</v>
      </c>
    </row>
    <row r="370" spans="1:13" x14ac:dyDescent="0.3">
      <c r="A370" t="str">
        <f>VLOOKUP(WEEKDAY(B370),Data!$A$2:$B$8,2)</f>
        <v>Friday</v>
      </c>
      <c r="B370" s="4">
        <f t="shared" si="20"/>
        <v>43462</v>
      </c>
      <c r="C370" s="70"/>
      <c r="D370" s="75"/>
      <c r="E370" s="102">
        <f>Data!$D$44</f>
        <v>6000</v>
      </c>
      <c r="F370" s="70"/>
      <c r="G370" s="285"/>
      <c r="J370" s="72">
        <f t="shared" si="19"/>
        <v>-773403.09999999963</v>
      </c>
    </row>
    <row r="371" spans="1:13" x14ac:dyDescent="0.3">
      <c r="A371" s="19" t="str">
        <f>VLOOKUP(WEEKDAY(B371),Data!$A$2:$B$8,2)</f>
        <v>Saturday</v>
      </c>
      <c r="B371" s="60">
        <f t="shared" si="20"/>
        <v>43463</v>
      </c>
      <c r="C371" s="84"/>
      <c r="D371" s="85"/>
      <c r="E371" s="146"/>
      <c r="F371" s="84"/>
      <c r="G371" s="146"/>
      <c r="H371" s="146"/>
      <c r="I371" s="146"/>
      <c r="J371" s="86">
        <f t="shared" si="19"/>
        <v>-773403.09999999963</v>
      </c>
    </row>
    <row r="372" spans="1:13" x14ac:dyDescent="0.3">
      <c r="A372" s="22" t="str">
        <f>VLOOKUP(WEEKDAY(B372),Data!$A$2:$B$8,2)</f>
        <v>Sunday</v>
      </c>
      <c r="B372" s="4">
        <f t="shared" si="20"/>
        <v>43464</v>
      </c>
      <c r="C372" s="70"/>
      <c r="D372" s="71"/>
      <c r="E372" s="102"/>
      <c r="F372" s="70"/>
      <c r="G372" s="71"/>
      <c r="H372" s="71"/>
      <c r="I372" s="71"/>
      <c r="J372" s="72">
        <f t="shared" si="19"/>
        <v>-773403.09999999963</v>
      </c>
    </row>
    <row r="373" spans="1:13" x14ac:dyDescent="0.3">
      <c r="A373" s="22" t="str">
        <f>VLOOKUP(WEEKDAY(B373),Data!$A$2:$B$8,2)</f>
        <v>Monday</v>
      </c>
      <c r="B373" s="4">
        <f t="shared" si="20"/>
        <v>43465</v>
      </c>
      <c r="C373" s="70"/>
      <c r="D373" s="71">
        <f>Data!$D$25</f>
        <v>0</v>
      </c>
      <c r="E373" s="71"/>
      <c r="F373" s="70"/>
      <c r="G373" s="71"/>
      <c r="H373" s="71"/>
      <c r="I373" s="71"/>
      <c r="J373" s="72">
        <f>J372+SUM(C373:E373)-SUM(F373:I373)</f>
        <v>-773403.09999999963</v>
      </c>
    </row>
    <row r="374" spans="1:13" x14ac:dyDescent="0.3">
      <c r="A374" s="22" t="str">
        <f>VLOOKUP(WEEKDAY(B374),Data!$A$2:$B$8,2)</f>
        <v>Tuesday</v>
      </c>
      <c r="B374" s="4">
        <f t="shared" si="20"/>
        <v>43466</v>
      </c>
      <c r="C374" s="70"/>
      <c r="D374" s="75"/>
      <c r="E374" s="109"/>
      <c r="F374" s="108"/>
      <c r="G374" s="71"/>
      <c r="H374" s="71"/>
      <c r="I374" s="71"/>
      <c r="J374" s="72">
        <f>J373+SUM(C374:E374)-SUM(F374:I374)</f>
        <v>-773403.09999999963</v>
      </c>
    </row>
    <row r="375" spans="1:13" x14ac:dyDescent="0.3">
      <c r="A375" t="str">
        <f>VLOOKUP(WEEKDAY(B375),Data!$A$2:$B$8,2)</f>
        <v>Wednesday</v>
      </c>
      <c r="B375" s="4">
        <f t="shared" si="20"/>
        <v>43467</v>
      </c>
      <c r="C375" s="70"/>
      <c r="D375" s="75"/>
      <c r="F375" s="70"/>
      <c r="G375" s="71"/>
      <c r="J375" s="72">
        <f t="shared" si="19"/>
        <v>-773403.09999999963</v>
      </c>
    </row>
    <row r="376" spans="1:13" x14ac:dyDescent="0.3">
      <c r="A376" t="str">
        <f>VLOOKUP(WEEKDAY(B376),Data!$A$2:$B$8,2)</f>
        <v>Thursday</v>
      </c>
      <c r="B376" s="4">
        <f t="shared" si="20"/>
        <v>43468</v>
      </c>
      <c r="C376" s="70"/>
      <c r="D376" s="75"/>
      <c r="E376" s="71"/>
      <c r="F376" s="70"/>
      <c r="G376" s="71"/>
      <c r="H376" s="102">
        <f>Data!$I$41</f>
        <v>8000</v>
      </c>
      <c r="I376" s="102">
        <f>Data!$I$52</f>
        <v>53000</v>
      </c>
      <c r="J376" s="72">
        <f>J375+SUM(C376:E376)-SUM(F376:I376)</f>
        <v>-834403.09999999963</v>
      </c>
    </row>
    <row r="377" spans="1:13" x14ac:dyDescent="0.3">
      <c r="A377" t="str">
        <f>VLOOKUP(WEEKDAY(B377),Data!$A$2:$B$8,2)</f>
        <v>Friday</v>
      </c>
      <c r="B377" s="4">
        <f t="shared" si="20"/>
        <v>43469</v>
      </c>
      <c r="C377" s="70"/>
      <c r="D377" s="75"/>
      <c r="E377" s="102">
        <f>Data!$D$44</f>
        <v>6000</v>
      </c>
      <c r="F377" s="108">
        <f>Data!$I$25</f>
        <v>687000</v>
      </c>
      <c r="G377" s="71"/>
      <c r="J377" s="72">
        <f t="shared" si="19"/>
        <v>-1515403.0999999996</v>
      </c>
    </row>
    <row r="378" spans="1:13" x14ac:dyDescent="0.3">
      <c r="A378" s="19" t="str">
        <f>VLOOKUP(WEEKDAY(B378),Data!$A$2:$B$8,2)</f>
        <v>Saturday</v>
      </c>
      <c r="B378" s="60">
        <f t="shared" si="20"/>
        <v>43470</v>
      </c>
      <c r="C378" s="84"/>
      <c r="D378" s="252"/>
      <c r="E378" s="146"/>
      <c r="F378" s="232"/>
      <c r="G378" s="85"/>
      <c r="H378" s="146"/>
      <c r="I378" s="146"/>
      <c r="J378" s="86">
        <f t="shared" si="19"/>
        <v>-1515403.0999999996</v>
      </c>
    </row>
    <row r="379" spans="1:13" x14ac:dyDescent="0.3">
      <c r="A379" s="22" t="str">
        <f>VLOOKUP(WEEKDAY(B379),Data!$A$2:$B$8,2)</f>
        <v>Sunday</v>
      </c>
      <c r="B379" s="4">
        <f t="shared" si="20"/>
        <v>43471</v>
      </c>
      <c r="C379" s="70"/>
      <c r="D379" s="75"/>
      <c r="E379" s="102"/>
      <c r="F379" s="108"/>
      <c r="G379" s="71"/>
      <c r="H379" s="71"/>
      <c r="I379" s="71"/>
      <c r="J379" s="72">
        <f t="shared" si="19"/>
        <v>-1515403.0999999996</v>
      </c>
    </row>
    <row r="380" spans="1:13" x14ac:dyDescent="0.3">
      <c r="A380" s="22" t="str">
        <f>VLOOKUP(WEEKDAY(B380),Data!$A$2:$B$8,2)</f>
        <v>Monday</v>
      </c>
      <c r="B380" s="4">
        <f t="shared" si="20"/>
        <v>43472</v>
      </c>
      <c r="C380" s="70"/>
      <c r="D380" s="75"/>
      <c r="E380" s="71"/>
      <c r="F380" s="70"/>
      <c r="G380" s="71"/>
      <c r="H380" s="71"/>
      <c r="I380" s="71"/>
      <c r="J380" s="72">
        <f>J379+SUM(C380:E380)-SUM(F380:I380)</f>
        <v>-1515403.0999999996</v>
      </c>
    </row>
    <row r="381" spans="1:13" x14ac:dyDescent="0.3">
      <c r="A381" s="22" t="str">
        <f>VLOOKUP(WEEKDAY(B381),Data!$A$2:$B$8,2)</f>
        <v>Tuesday</v>
      </c>
      <c r="B381" s="4">
        <f t="shared" si="20"/>
        <v>43473</v>
      </c>
      <c r="C381" s="70"/>
      <c r="D381" s="75"/>
      <c r="E381" s="71"/>
      <c r="F381" s="70"/>
      <c r="G381" s="71"/>
      <c r="H381" s="71"/>
      <c r="I381" s="71"/>
      <c r="J381" s="72">
        <f>J380+SUM(C381:E381)-SUM(F381:I381)</f>
        <v>-1515403.0999999996</v>
      </c>
    </row>
    <row r="382" spans="1:13" x14ac:dyDescent="0.3">
      <c r="A382" t="str">
        <f>VLOOKUP(WEEKDAY(B382),Data!$A$2:$B$8,2)</f>
        <v>Wednesday</v>
      </c>
      <c r="B382" s="4">
        <f t="shared" si="20"/>
        <v>43474</v>
      </c>
      <c r="C382" s="70"/>
      <c r="D382" s="75"/>
      <c r="F382" s="70"/>
      <c r="G382" s="71"/>
      <c r="J382" s="72">
        <f t="shared" ref="J382:J442" si="21">J381+SUM(C382:E382)-SUM(F382:I382)</f>
        <v>-1515403.0999999996</v>
      </c>
    </row>
    <row r="383" spans="1:13" x14ac:dyDescent="0.3">
      <c r="A383" t="str">
        <f>VLOOKUP(WEEKDAY(B383),Data!$A$2:$B$8,2)</f>
        <v>Thursday</v>
      </c>
      <c r="B383" s="4">
        <f t="shared" ref="B383:B446" si="22">B382+1</f>
        <v>43475</v>
      </c>
      <c r="C383" s="82">
        <f>Data!$D$16</f>
        <v>73000</v>
      </c>
      <c r="D383" s="75"/>
      <c r="E383" s="71"/>
      <c r="F383" s="70"/>
      <c r="G383" s="71"/>
      <c r="H383" s="102">
        <f>Data!$I$41</f>
        <v>8000</v>
      </c>
      <c r="I383" s="102">
        <f>Data!$I$52</f>
        <v>53000</v>
      </c>
      <c r="J383" s="72">
        <f>J382+SUM(C383:E383)-SUM(F383:I383)</f>
        <v>-1503403.0999999996</v>
      </c>
      <c r="M383">
        <v>150748.41</v>
      </c>
    </row>
    <row r="384" spans="1:13" x14ac:dyDescent="0.3">
      <c r="A384" t="str">
        <f>VLOOKUP(WEEKDAY(B384),Data!$A$2:$B$8,2)</f>
        <v>Friday</v>
      </c>
      <c r="B384" s="4">
        <f t="shared" si="22"/>
        <v>43476</v>
      </c>
      <c r="C384" s="80"/>
      <c r="D384" s="75"/>
      <c r="E384" s="102">
        <f>Data!$D$44</f>
        <v>6000</v>
      </c>
      <c r="F384" s="70"/>
      <c r="G384" s="71"/>
      <c r="J384" s="72">
        <f t="shared" si="21"/>
        <v>-1497403.0999999996</v>
      </c>
    </row>
    <row r="385" spans="1:11" x14ac:dyDescent="0.3">
      <c r="A385" s="19" t="str">
        <f>VLOOKUP(WEEKDAY(B385),Data!$A$2:$B$8,2)</f>
        <v>Saturday</v>
      </c>
      <c r="B385" s="60">
        <f t="shared" si="22"/>
        <v>43477</v>
      </c>
      <c r="C385" s="253"/>
      <c r="D385" s="252"/>
      <c r="E385" s="146"/>
      <c r="F385" s="84"/>
      <c r="G385" s="85"/>
      <c r="H385" s="146"/>
      <c r="I385" s="146"/>
      <c r="J385" s="86">
        <f t="shared" si="21"/>
        <v>-1497403.0999999996</v>
      </c>
      <c r="K385" s="213">
        <f>1063309.95-1750000</f>
        <v>-686690.05</v>
      </c>
    </row>
    <row r="386" spans="1:11" x14ac:dyDescent="0.3">
      <c r="A386" s="22" t="str">
        <f>VLOOKUP(WEEKDAY(B386),Data!$A$2:$B$8,2)</f>
        <v>Sunday</v>
      </c>
      <c r="B386" s="4">
        <f t="shared" si="22"/>
        <v>43478</v>
      </c>
      <c r="C386" s="70"/>
      <c r="D386" s="75"/>
      <c r="E386" s="102"/>
      <c r="F386" s="70"/>
      <c r="G386" s="71"/>
      <c r="H386" s="71"/>
      <c r="I386" s="71"/>
      <c r="J386" s="72">
        <f t="shared" si="21"/>
        <v>-1497403.0999999996</v>
      </c>
    </row>
    <row r="387" spans="1:11" x14ac:dyDescent="0.3">
      <c r="A387" s="22" t="str">
        <f>VLOOKUP(WEEKDAY(B387),Data!$A$2:$B$8,2)</f>
        <v>Monday</v>
      </c>
      <c r="B387" s="4">
        <f t="shared" si="22"/>
        <v>43479</v>
      </c>
      <c r="C387" s="70"/>
      <c r="D387" s="75"/>
      <c r="E387" s="71"/>
      <c r="F387" s="70"/>
      <c r="G387" s="71"/>
      <c r="H387" s="71"/>
      <c r="I387" s="71"/>
      <c r="J387" s="72">
        <f>J386+SUM(C387:E387)-SUM(F387:I387)</f>
        <v>-1497403.0999999996</v>
      </c>
    </row>
    <row r="388" spans="1:11" x14ac:dyDescent="0.3">
      <c r="A388" s="22" t="str">
        <f>VLOOKUP(WEEKDAY(B388),Data!$A$2:$B$8,2)</f>
        <v>Tuesday</v>
      </c>
      <c r="B388" s="4">
        <f t="shared" si="22"/>
        <v>43480</v>
      </c>
      <c r="C388" s="70"/>
      <c r="D388" s="75"/>
      <c r="E388" s="71"/>
      <c r="F388" s="108"/>
      <c r="G388" s="71"/>
      <c r="H388" s="71"/>
      <c r="I388" s="71"/>
      <c r="J388" s="72">
        <f>J387+SUM(C388:E388)-SUM(F388:I388)</f>
        <v>-1497403.0999999996</v>
      </c>
    </row>
    <row r="389" spans="1:11" x14ac:dyDescent="0.3">
      <c r="A389" t="str">
        <f>VLOOKUP(WEEKDAY(B389),Data!$A$2:$B$8,2)</f>
        <v>Wednesday</v>
      </c>
      <c r="B389" s="4">
        <f t="shared" si="22"/>
        <v>43481</v>
      </c>
      <c r="C389" s="70"/>
      <c r="D389" s="75"/>
      <c r="F389" s="70"/>
      <c r="G389" s="71"/>
      <c r="J389" s="72">
        <f t="shared" si="21"/>
        <v>-1497403.0999999996</v>
      </c>
    </row>
    <row r="390" spans="1:11" x14ac:dyDescent="0.3">
      <c r="A390" t="str">
        <f>VLOOKUP(WEEKDAY(B390),Data!$A$2:$B$8,2)</f>
        <v>Thursday</v>
      </c>
      <c r="B390" s="4">
        <f t="shared" si="22"/>
        <v>43482</v>
      </c>
      <c r="C390" s="70"/>
      <c r="D390" s="75"/>
      <c r="E390" s="71"/>
      <c r="F390" s="70"/>
      <c r="G390" s="71"/>
      <c r="H390" s="102">
        <f>Data!$I$41</f>
        <v>8000</v>
      </c>
      <c r="I390" s="102">
        <f>Data!$I$52</f>
        <v>53000</v>
      </c>
      <c r="J390" s="72">
        <f>J389+SUM(C390:E390)-SUM(F390:I390)</f>
        <v>-1558403.0999999996</v>
      </c>
    </row>
    <row r="391" spans="1:11" x14ac:dyDescent="0.3">
      <c r="A391" t="str">
        <f>VLOOKUP(WEEKDAY(B391),Data!$A$2:$B$8,2)</f>
        <v>Friday</v>
      </c>
      <c r="B391" s="4">
        <f t="shared" si="22"/>
        <v>43483</v>
      </c>
      <c r="C391" s="70"/>
      <c r="D391" s="75"/>
      <c r="E391" s="102">
        <f>Data!$D$44</f>
        <v>6000</v>
      </c>
      <c r="F391" s="70"/>
      <c r="G391" s="71"/>
      <c r="J391" s="72">
        <f t="shared" si="21"/>
        <v>-1552403.0999999996</v>
      </c>
    </row>
    <row r="392" spans="1:11" x14ac:dyDescent="0.3">
      <c r="A392" s="19" t="str">
        <f>VLOOKUP(WEEKDAY(B392),Data!$A$2:$B$8,2)</f>
        <v>Saturday</v>
      </c>
      <c r="B392" s="60">
        <f t="shared" si="22"/>
        <v>43484</v>
      </c>
      <c r="C392" s="84"/>
      <c r="D392" s="252"/>
      <c r="E392" s="146"/>
      <c r="F392" s="232"/>
      <c r="G392" s="85"/>
      <c r="H392" s="146"/>
      <c r="I392" s="146"/>
      <c r="J392" s="238">
        <f t="shared" si="21"/>
        <v>-1552403.0999999996</v>
      </c>
    </row>
    <row r="393" spans="1:11" x14ac:dyDescent="0.3">
      <c r="A393" s="22" t="str">
        <f>VLOOKUP(WEEKDAY(B393),Data!$A$2:$B$8,2)</f>
        <v>Sunday</v>
      </c>
      <c r="B393" s="4">
        <f t="shared" si="22"/>
        <v>43485</v>
      </c>
      <c r="C393" s="70"/>
      <c r="D393" s="75"/>
      <c r="E393" s="102"/>
      <c r="F393" s="108"/>
      <c r="G393" s="71"/>
      <c r="H393" s="71"/>
      <c r="I393" s="71"/>
      <c r="J393" s="72">
        <f t="shared" si="21"/>
        <v>-1552403.0999999996</v>
      </c>
    </row>
    <row r="394" spans="1:11" x14ac:dyDescent="0.3">
      <c r="A394" s="22" t="str">
        <f>VLOOKUP(WEEKDAY(B394),Data!$A$2:$B$8,2)</f>
        <v>Monday</v>
      </c>
      <c r="B394" s="4">
        <f t="shared" si="22"/>
        <v>43486</v>
      </c>
      <c r="C394" s="70">
        <f>Data!$D$12</f>
        <v>1614000</v>
      </c>
      <c r="D394" s="75"/>
      <c r="E394" s="71"/>
      <c r="F394" s="108">
        <f>Data!$I$25</f>
        <v>687000</v>
      </c>
      <c r="G394" s="71"/>
      <c r="H394" s="71"/>
      <c r="I394" s="71"/>
      <c r="J394" s="141">
        <f t="shared" si="21"/>
        <v>-625403.09999999963</v>
      </c>
    </row>
    <row r="395" spans="1:11" x14ac:dyDescent="0.3">
      <c r="A395" s="22" t="str">
        <f>VLOOKUP(WEEKDAY(B395),Data!$A$2:$B$8,2)</f>
        <v>Tuesday</v>
      </c>
      <c r="B395" s="4">
        <f t="shared" si="22"/>
        <v>43487</v>
      </c>
      <c r="C395" s="70"/>
      <c r="D395" s="75"/>
      <c r="E395" s="71"/>
      <c r="F395" s="70"/>
      <c r="G395" s="71"/>
      <c r="H395" s="71"/>
      <c r="I395" s="71"/>
      <c r="J395" s="72">
        <f>J394+SUM(C395:E395)-SUM(F395:I395)</f>
        <v>-625403.09999999963</v>
      </c>
    </row>
    <row r="396" spans="1:11" x14ac:dyDescent="0.3">
      <c r="A396" t="str">
        <f>VLOOKUP(WEEKDAY(B396),Data!$A$2:$B$8,2)</f>
        <v>Wednesday</v>
      </c>
      <c r="B396" s="4">
        <f t="shared" si="22"/>
        <v>43488</v>
      </c>
      <c r="C396" s="70"/>
      <c r="D396" s="75"/>
      <c r="F396" s="70"/>
      <c r="G396" s="71"/>
      <c r="J396" s="72">
        <f t="shared" si="21"/>
        <v>-625403.09999999963</v>
      </c>
    </row>
    <row r="397" spans="1:11" x14ac:dyDescent="0.3">
      <c r="A397" t="str">
        <f>VLOOKUP(WEEKDAY(B397),Data!$A$2:$B$8,2)</f>
        <v>Thursday</v>
      </c>
      <c r="B397" s="4">
        <f t="shared" si="22"/>
        <v>43489</v>
      </c>
      <c r="C397" s="70"/>
      <c r="D397" s="75"/>
      <c r="E397" s="71"/>
      <c r="F397" s="70"/>
      <c r="G397" s="285">
        <f>Data!$I$37</f>
        <v>210000</v>
      </c>
      <c r="H397" s="102">
        <f>Data!$I$41</f>
        <v>8000</v>
      </c>
      <c r="I397" s="102">
        <f>Data!$I$52</f>
        <v>53000</v>
      </c>
      <c r="J397" s="72">
        <f>J396+SUM(C397:E397)-SUM(F397:I397)</f>
        <v>-896403.09999999963</v>
      </c>
    </row>
    <row r="398" spans="1:11" x14ac:dyDescent="0.3">
      <c r="A398" t="str">
        <f>VLOOKUP(WEEKDAY(B398),Data!$A$2:$B$8,2)</f>
        <v>Friday</v>
      </c>
      <c r="B398" s="4">
        <f t="shared" si="22"/>
        <v>43490</v>
      </c>
      <c r="C398" s="70"/>
      <c r="D398" s="75"/>
      <c r="E398" s="102">
        <f>Data!$D$44</f>
        <v>6000</v>
      </c>
      <c r="F398" s="70"/>
      <c r="J398" s="72">
        <f t="shared" si="21"/>
        <v>-890403.09999999963</v>
      </c>
    </row>
    <row r="399" spans="1:11" x14ac:dyDescent="0.3">
      <c r="A399" s="19" t="str">
        <f>VLOOKUP(WEEKDAY(B399),Data!$A$2:$B$8,2)</f>
        <v>Saturday</v>
      </c>
      <c r="B399" s="60">
        <f t="shared" si="22"/>
        <v>43491</v>
      </c>
      <c r="C399" s="84"/>
      <c r="D399" s="252"/>
      <c r="E399" s="146"/>
      <c r="F399" s="84"/>
      <c r="G399" s="146"/>
      <c r="H399" s="146"/>
      <c r="I399" s="146"/>
      <c r="J399" s="86">
        <f t="shared" si="21"/>
        <v>-890403.09999999963</v>
      </c>
    </row>
    <row r="400" spans="1:11" x14ac:dyDescent="0.3">
      <c r="A400" s="22" t="str">
        <f>VLOOKUP(WEEKDAY(B400),Data!$A$2:$B$8,2)</f>
        <v>Sunday</v>
      </c>
      <c r="B400" s="4">
        <f t="shared" si="22"/>
        <v>43492</v>
      </c>
      <c r="C400" s="70"/>
      <c r="D400" s="75"/>
      <c r="E400" s="102"/>
      <c r="F400" s="70"/>
      <c r="G400" s="71"/>
      <c r="H400" s="71"/>
      <c r="I400" s="71"/>
      <c r="J400" s="72">
        <f t="shared" si="21"/>
        <v>-890403.09999999963</v>
      </c>
    </row>
    <row r="401" spans="1:10" x14ac:dyDescent="0.3">
      <c r="A401" s="22" t="str">
        <f>VLOOKUP(WEEKDAY(B401),Data!$A$2:$B$8,2)</f>
        <v>Monday</v>
      </c>
      <c r="B401" s="4">
        <f t="shared" si="22"/>
        <v>43493</v>
      </c>
      <c r="C401" s="70"/>
      <c r="D401" s="75"/>
      <c r="E401" s="71"/>
      <c r="F401" s="70"/>
      <c r="G401" s="71"/>
      <c r="H401" s="71"/>
      <c r="I401" s="71"/>
      <c r="J401" s="72">
        <f>J400+SUM(C401:E401)-SUM(F401:I401)</f>
        <v>-890403.09999999963</v>
      </c>
    </row>
    <row r="402" spans="1:10" x14ac:dyDescent="0.3">
      <c r="A402" s="22" t="str">
        <f>VLOOKUP(WEEKDAY(B402),Data!$A$2:$B$8,2)</f>
        <v>Tuesday</v>
      </c>
      <c r="B402" s="4">
        <f t="shared" si="22"/>
        <v>43494</v>
      </c>
      <c r="C402" s="70"/>
      <c r="D402" s="71"/>
      <c r="E402" s="71"/>
      <c r="F402" s="108"/>
      <c r="G402" s="107"/>
      <c r="H402" s="71"/>
      <c r="I402" s="71"/>
      <c r="J402" s="72">
        <f>J401+SUM(C402:E402)-SUM(F402:I402)</f>
        <v>-890403.09999999963</v>
      </c>
    </row>
    <row r="403" spans="1:10" x14ac:dyDescent="0.3">
      <c r="A403" t="str">
        <f>VLOOKUP(WEEKDAY(B403),Data!$A$2:$B$8,2)</f>
        <v>Wednesday</v>
      </c>
      <c r="B403" s="4">
        <f t="shared" si="22"/>
        <v>43495</v>
      </c>
      <c r="C403" s="70"/>
      <c r="D403" s="71"/>
      <c r="F403" s="70"/>
      <c r="G403" s="71"/>
      <c r="J403" s="72">
        <f t="shared" si="21"/>
        <v>-890403.09999999963</v>
      </c>
    </row>
    <row r="404" spans="1:10" x14ac:dyDescent="0.3">
      <c r="A404" s="48" t="str">
        <f>VLOOKUP(WEEKDAY(B404),Data!$A$2:$B$8,2)</f>
        <v>Thursday</v>
      </c>
      <c r="B404" s="111">
        <f t="shared" si="22"/>
        <v>43496</v>
      </c>
      <c r="C404" s="82"/>
      <c r="D404" s="71">
        <f>Data!$D$26</f>
        <v>1115217</v>
      </c>
      <c r="E404" s="75"/>
      <c r="F404" s="82"/>
      <c r="G404" s="75"/>
      <c r="H404" s="102">
        <f>Data!$I$41</f>
        <v>8000</v>
      </c>
      <c r="I404" s="102">
        <f>Data!$I$52</f>
        <v>53000</v>
      </c>
      <c r="J404" s="141">
        <f>J403+SUM(C404:E404)-SUM(F404:I404)</f>
        <v>163813.90000000037</v>
      </c>
    </row>
    <row r="405" spans="1:10" x14ac:dyDescent="0.3">
      <c r="A405" s="22" t="str">
        <f>VLOOKUP(WEEKDAY(B405),Data!$A$2:$B$8,2)</f>
        <v>Friday</v>
      </c>
      <c r="B405" s="4">
        <f t="shared" si="22"/>
        <v>43497</v>
      </c>
      <c r="C405" s="70"/>
      <c r="D405" s="75"/>
      <c r="E405" s="102">
        <f>Data!$D$44</f>
        <v>6000</v>
      </c>
      <c r="F405" s="70"/>
      <c r="G405" s="71"/>
      <c r="J405" s="72">
        <f t="shared" si="21"/>
        <v>169813.90000000037</v>
      </c>
    </row>
    <row r="406" spans="1:10" x14ac:dyDescent="0.3">
      <c r="A406" s="19" t="str">
        <f>VLOOKUP(WEEKDAY(B406),Data!$A$2:$B$8,2)</f>
        <v>Saturday</v>
      </c>
      <c r="B406" s="60">
        <f t="shared" si="22"/>
        <v>43498</v>
      </c>
      <c r="C406" s="84"/>
      <c r="D406" s="252"/>
      <c r="E406" s="146"/>
      <c r="F406" s="84"/>
      <c r="G406" s="85"/>
      <c r="H406" s="146"/>
      <c r="I406" s="146"/>
      <c r="J406" s="86">
        <f t="shared" si="21"/>
        <v>169813.90000000037</v>
      </c>
    </row>
    <row r="407" spans="1:10" x14ac:dyDescent="0.3">
      <c r="A407" s="22" t="str">
        <f>VLOOKUP(WEEKDAY(B407),Data!$A$2:$B$8,2)</f>
        <v>Sunday</v>
      </c>
      <c r="B407" s="4">
        <f t="shared" si="22"/>
        <v>43499</v>
      </c>
      <c r="C407" s="70"/>
      <c r="D407" s="75"/>
      <c r="E407" s="102"/>
      <c r="F407" s="70"/>
      <c r="G407" s="71"/>
      <c r="H407" s="71"/>
      <c r="I407" s="71"/>
      <c r="J407" s="72">
        <f t="shared" si="21"/>
        <v>169813.90000000037</v>
      </c>
    </row>
    <row r="408" spans="1:10" x14ac:dyDescent="0.3">
      <c r="A408" s="22" t="str">
        <f>VLOOKUP(WEEKDAY(B408),Data!$A$2:$B$8,2)</f>
        <v>Monday</v>
      </c>
      <c r="B408" s="4">
        <f t="shared" si="22"/>
        <v>43500</v>
      </c>
      <c r="C408" s="70"/>
      <c r="D408" s="75"/>
      <c r="E408" s="71"/>
      <c r="F408" s="70"/>
      <c r="G408" s="71"/>
      <c r="H408" s="71"/>
      <c r="I408" s="71"/>
      <c r="J408" s="72">
        <f>J407+SUM(C408:E408)-SUM(F408:I408)</f>
        <v>169813.90000000037</v>
      </c>
    </row>
    <row r="409" spans="1:10" x14ac:dyDescent="0.3">
      <c r="A409" s="22" t="str">
        <f>VLOOKUP(WEEKDAY(B409),Data!$A$2:$B$8,2)</f>
        <v>Tuesday</v>
      </c>
      <c r="B409" s="4">
        <f t="shared" si="22"/>
        <v>43501</v>
      </c>
      <c r="C409" s="70"/>
      <c r="D409" s="75"/>
      <c r="E409" s="71"/>
      <c r="F409" s="108"/>
      <c r="G409" s="71"/>
      <c r="H409" s="71"/>
      <c r="I409" s="71"/>
      <c r="J409" s="72">
        <f>J408+SUM(C409:E409)-SUM(F409:I409)</f>
        <v>169813.90000000037</v>
      </c>
    </row>
    <row r="410" spans="1:10" x14ac:dyDescent="0.3">
      <c r="A410" t="str">
        <f>VLOOKUP(WEEKDAY(B410),Data!$A$2:$B$8,2)</f>
        <v>Wednesday</v>
      </c>
      <c r="B410" s="4">
        <f t="shared" si="22"/>
        <v>43502</v>
      </c>
      <c r="C410" s="70"/>
      <c r="D410" s="75"/>
      <c r="F410" s="108">
        <f>Data!$I$25</f>
        <v>687000</v>
      </c>
      <c r="G410" s="71"/>
      <c r="J410" s="72">
        <f t="shared" si="21"/>
        <v>-517186.09999999963</v>
      </c>
    </row>
    <row r="411" spans="1:10" x14ac:dyDescent="0.3">
      <c r="A411" t="str">
        <f>VLOOKUP(WEEKDAY(B411),Data!$A$2:$B$8,2)</f>
        <v>Thursday</v>
      </c>
      <c r="B411" s="4">
        <f t="shared" si="22"/>
        <v>43503</v>
      </c>
      <c r="C411" s="70"/>
      <c r="D411" s="75"/>
      <c r="E411" s="71"/>
      <c r="F411" s="70"/>
      <c r="G411" s="71"/>
      <c r="H411" s="102">
        <f>Data!$I$41</f>
        <v>8000</v>
      </c>
      <c r="I411" s="102">
        <f>Data!$I$52</f>
        <v>53000</v>
      </c>
      <c r="J411" s="72">
        <f>J410+SUM(C411:E411)-SUM(F411:I411)</f>
        <v>-578186.09999999963</v>
      </c>
    </row>
    <row r="412" spans="1:10" x14ac:dyDescent="0.3">
      <c r="A412" t="str">
        <f>VLOOKUP(WEEKDAY(B412),Data!$A$2:$B$8,2)</f>
        <v>Friday</v>
      </c>
      <c r="B412" s="4">
        <f t="shared" si="22"/>
        <v>43504</v>
      </c>
      <c r="C412" s="70"/>
      <c r="D412" s="75"/>
      <c r="E412" s="102">
        <f>Data!$D$44</f>
        <v>6000</v>
      </c>
      <c r="F412" s="70"/>
      <c r="G412" s="71"/>
      <c r="J412" s="72">
        <f t="shared" si="21"/>
        <v>-572186.09999999963</v>
      </c>
    </row>
    <row r="413" spans="1:10" x14ac:dyDescent="0.3">
      <c r="A413" s="19" t="str">
        <f>VLOOKUP(WEEKDAY(B413),Data!$A$2:$B$8,2)</f>
        <v>Saturday</v>
      </c>
      <c r="B413" s="60">
        <f t="shared" si="22"/>
        <v>43505</v>
      </c>
      <c r="C413" s="84"/>
      <c r="D413" s="252"/>
      <c r="E413" s="146"/>
      <c r="F413" s="84"/>
      <c r="G413" s="85"/>
      <c r="H413" s="146"/>
      <c r="I413" s="146"/>
      <c r="J413" s="86">
        <f t="shared" si="21"/>
        <v>-572186.09999999963</v>
      </c>
    </row>
    <row r="414" spans="1:10" x14ac:dyDescent="0.3">
      <c r="A414" s="22" t="str">
        <f>VLOOKUP(WEEKDAY(B414),Data!$A$2:$B$8,2)</f>
        <v>Sunday</v>
      </c>
      <c r="B414" s="4">
        <f t="shared" si="22"/>
        <v>43506</v>
      </c>
      <c r="C414" s="82"/>
      <c r="D414" s="75"/>
      <c r="E414" s="102"/>
      <c r="F414" s="70"/>
      <c r="G414" s="71"/>
      <c r="H414" s="71"/>
      <c r="I414" s="71"/>
      <c r="J414" s="72">
        <f t="shared" si="21"/>
        <v>-572186.09999999963</v>
      </c>
    </row>
    <row r="415" spans="1:10" x14ac:dyDescent="0.3">
      <c r="A415" s="22" t="str">
        <f>VLOOKUP(WEEKDAY(B415),Data!$A$2:$B$8,2)</f>
        <v>Monday</v>
      </c>
      <c r="B415" s="4">
        <f t="shared" si="22"/>
        <v>43507</v>
      </c>
      <c r="C415" s="82">
        <f>Data!$D$16</f>
        <v>73000</v>
      </c>
      <c r="D415" s="75"/>
      <c r="E415" s="71"/>
      <c r="F415" s="70"/>
      <c r="G415" s="71"/>
      <c r="H415" s="71"/>
      <c r="I415" s="71"/>
      <c r="J415" s="72">
        <f>J414+SUM(C415:E415)-SUM(F415:I415)</f>
        <v>-499186.09999999963</v>
      </c>
    </row>
    <row r="416" spans="1:10" x14ac:dyDescent="0.3">
      <c r="A416" s="22" t="str">
        <f>VLOOKUP(WEEKDAY(B416),Data!$A$2:$B$8,2)</f>
        <v>Tuesday</v>
      </c>
      <c r="B416" s="4">
        <f t="shared" si="22"/>
        <v>43508</v>
      </c>
      <c r="C416" s="82"/>
      <c r="D416" s="75"/>
      <c r="E416" s="71"/>
      <c r="F416" s="108"/>
      <c r="G416" s="71"/>
      <c r="H416" s="71"/>
      <c r="I416" s="71"/>
      <c r="J416" s="72">
        <f>J415+SUM(C416:E416)-SUM(F416:I416)</f>
        <v>-499186.09999999963</v>
      </c>
    </row>
    <row r="417" spans="1:10" x14ac:dyDescent="0.3">
      <c r="A417" t="str">
        <f>VLOOKUP(WEEKDAY(B417),Data!$A$2:$B$8,2)</f>
        <v>Wednesday</v>
      </c>
      <c r="B417" s="4">
        <f t="shared" si="22"/>
        <v>43509</v>
      </c>
      <c r="C417" s="70"/>
      <c r="D417" s="75"/>
      <c r="F417" s="70"/>
      <c r="G417" s="71"/>
      <c r="J417" s="72">
        <f t="shared" si="21"/>
        <v>-499186.09999999963</v>
      </c>
    </row>
    <row r="418" spans="1:10" x14ac:dyDescent="0.3">
      <c r="A418" t="str">
        <f>VLOOKUP(WEEKDAY(B418),Data!$A$2:$B$8,2)</f>
        <v>Thursday</v>
      </c>
      <c r="B418" s="4">
        <f t="shared" si="22"/>
        <v>43510</v>
      </c>
      <c r="C418" s="70"/>
      <c r="D418" s="75"/>
      <c r="E418" s="71"/>
      <c r="F418" s="70"/>
      <c r="G418" s="71"/>
      <c r="H418" s="102">
        <f>Data!$I$41</f>
        <v>8000</v>
      </c>
      <c r="I418" s="102">
        <f>Data!$I$52</f>
        <v>53000</v>
      </c>
      <c r="J418" s="72">
        <f>J417+SUM(C418:E418)-SUM(F418:I418)</f>
        <v>-560186.09999999963</v>
      </c>
    </row>
    <row r="419" spans="1:10" x14ac:dyDescent="0.3">
      <c r="A419" t="str">
        <f>VLOOKUP(WEEKDAY(B419),Data!$A$2:$B$8,2)</f>
        <v>Friday</v>
      </c>
      <c r="B419" s="4">
        <f t="shared" si="22"/>
        <v>43511</v>
      </c>
      <c r="C419" s="70"/>
      <c r="D419" s="75"/>
      <c r="E419" s="102">
        <f>Data!$D$44</f>
        <v>6000</v>
      </c>
      <c r="F419" s="70"/>
      <c r="G419" s="71"/>
      <c r="J419" s="72">
        <f t="shared" si="21"/>
        <v>-554186.09999999963</v>
      </c>
    </row>
    <row r="420" spans="1:10" x14ac:dyDescent="0.3">
      <c r="A420" s="19" t="str">
        <f>VLOOKUP(WEEKDAY(B420),Data!$A$2:$B$8,2)</f>
        <v>Saturday</v>
      </c>
      <c r="B420" s="60">
        <f t="shared" si="22"/>
        <v>43512</v>
      </c>
      <c r="C420" s="84"/>
      <c r="D420" s="252"/>
      <c r="E420" s="146"/>
      <c r="F420" s="84"/>
      <c r="G420" s="85"/>
      <c r="H420" s="146"/>
      <c r="I420" s="146"/>
      <c r="J420" s="86">
        <f t="shared" si="21"/>
        <v>-554186.09999999963</v>
      </c>
    </row>
    <row r="421" spans="1:10" x14ac:dyDescent="0.3">
      <c r="A421" s="22" t="str">
        <f>VLOOKUP(WEEKDAY(B421),Data!$A$2:$B$8,2)</f>
        <v>Sunday</v>
      </c>
      <c r="B421" s="4">
        <f t="shared" si="22"/>
        <v>43513</v>
      </c>
      <c r="C421" s="70"/>
      <c r="D421" s="75"/>
      <c r="E421" s="102"/>
      <c r="F421" s="70"/>
      <c r="G421" s="71"/>
      <c r="H421" s="71"/>
      <c r="I421" s="71"/>
      <c r="J421" s="72">
        <f t="shared" si="21"/>
        <v>-554186.09999999963</v>
      </c>
    </row>
    <row r="422" spans="1:10" x14ac:dyDescent="0.3">
      <c r="A422" s="22" t="str">
        <f>VLOOKUP(WEEKDAY(B422),Data!$A$2:$B$8,2)</f>
        <v>Monday</v>
      </c>
      <c r="B422" s="4">
        <f t="shared" si="22"/>
        <v>43514</v>
      </c>
      <c r="C422" s="70"/>
      <c r="D422" s="75"/>
      <c r="E422" s="71"/>
      <c r="F422" s="70"/>
      <c r="G422" s="71"/>
      <c r="H422" s="71"/>
      <c r="I422" s="71"/>
      <c r="J422" s="72">
        <f>J421+SUM(C422:E422)-SUM(F422:I422)</f>
        <v>-554186.09999999963</v>
      </c>
    </row>
    <row r="423" spans="1:10" x14ac:dyDescent="0.3">
      <c r="A423" s="22" t="str">
        <f>VLOOKUP(WEEKDAY(B423),Data!$A$2:$B$8,2)</f>
        <v>Tuesday</v>
      </c>
      <c r="B423" s="4">
        <f t="shared" si="22"/>
        <v>43515</v>
      </c>
      <c r="C423" s="70"/>
      <c r="D423" s="75"/>
      <c r="E423" s="71"/>
      <c r="F423" s="80"/>
      <c r="G423" s="71"/>
      <c r="H423" s="71"/>
      <c r="I423" s="71"/>
      <c r="J423" s="72">
        <f>J422+SUM(C423:E423)-SUM(F423:I423)</f>
        <v>-554186.09999999963</v>
      </c>
    </row>
    <row r="424" spans="1:10" x14ac:dyDescent="0.3">
      <c r="A424" t="str">
        <f>VLOOKUP(WEEKDAY(B424),Data!$A$2:$B$8,2)</f>
        <v>Wednesday</v>
      </c>
      <c r="B424" s="4">
        <f t="shared" si="22"/>
        <v>43516</v>
      </c>
      <c r="C424" s="70">
        <f>Data!$D$12</f>
        <v>1614000</v>
      </c>
      <c r="D424" s="75"/>
      <c r="F424" s="70"/>
      <c r="G424" s="71"/>
      <c r="J424" s="72">
        <f t="shared" si="21"/>
        <v>1059813.9000000004</v>
      </c>
    </row>
    <row r="425" spans="1:10" x14ac:dyDescent="0.3">
      <c r="A425" t="str">
        <f>VLOOKUP(WEEKDAY(B425),Data!$A$2:$B$8,2)</f>
        <v>Thursday</v>
      </c>
      <c r="B425" s="4">
        <f t="shared" si="22"/>
        <v>43517</v>
      </c>
      <c r="C425" s="70"/>
      <c r="D425" s="75"/>
      <c r="E425" s="71"/>
      <c r="F425" s="108">
        <f>Data!$I$25</f>
        <v>687000</v>
      </c>
      <c r="G425" s="285">
        <f>Data!$I$37</f>
        <v>210000</v>
      </c>
      <c r="H425" s="102">
        <f>Data!$I$41</f>
        <v>8000</v>
      </c>
      <c r="I425" s="102">
        <f>Data!$I$52</f>
        <v>53000</v>
      </c>
      <c r="J425" s="72">
        <f>J424+SUM(C425:E425)-SUM(F425:I425)</f>
        <v>101813.90000000037</v>
      </c>
    </row>
    <row r="426" spans="1:10" x14ac:dyDescent="0.3">
      <c r="A426" t="str">
        <f>VLOOKUP(WEEKDAY(B426),Data!$A$2:$B$8,2)</f>
        <v>Friday</v>
      </c>
      <c r="B426" s="4">
        <f t="shared" si="22"/>
        <v>43518</v>
      </c>
      <c r="C426" s="70"/>
      <c r="D426" s="75"/>
      <c r="E426" s="102">
        <f>Data!$D$44</f>
        <v>6000</v>
      </c>
      <c r="F426" s="70"/>
      <c r="J426" s="72">
        <f t="shared" si="21"/>
        <v>107813.90000000037</v>
      </c>
    </row>
    <row r="427" spans="1:10" x14ac:dyDescent="0.3">
      <c r="A427" s="19" t="str">
        <f>VLOOKUP(WEEKDAY(B427),Data!$A$2:$B$8,2)</f>
        <v>Saturday</v>
      </c>
      <c r="B427" s="60">
        <f t="shared" si="22"/>
        <v>43519</v>
      </c>
      <c r="C427" s="84"/>
      <c r="D427" s="252"/>
      <c r="E427" s="146"/>
      <c r="F427" s="84"/>
      <c r="G427" s="146"/>
      <c r="H427" s="146"/>
      <c r="I427" s="146"/>
      <c r="J427" s="86">
        <f t="shared" si="21"/>
        <v>107813.90000000037</v>
      </c>
    </row>
    <row r="428" spans="1:10" x14ac:dyDescent="0.3">
      <c r="A428" s="22" t="str">
        <f>VLOOKUP(WEEKDAY(B428),Data!$A$2:$B$8,2)</f>
        <v>Sunday</v>
      </c>
      <c r="B428" s="4">
        <f t="shared" si="22"/>
        <v>43520</v>
      </c>
      <c r="C428" s="70"/>
      <c r="D428" s="75"/>
      <c r="E428" s="102"/>
      <c r="F428" s="70"/>
      <c r="G428" s="71"/>
      <c r="H428" s="71"/>
      <c r="I428" s="71"/>
      <c r="J428" s="72">
        <f t="shared" si="21"/>
        <v>107813.90000000037</v>
      </c>
    </row>
    <row r="429" spans="1:10" x14ac:dyDescent="0.3">
      <c r="A429" s="22" t="str">
        <f>VLOOKUP(WEEKDAY(B429),Data!$A$2:$B$8,2)</f>
        <v>Monday</v>
      </c>
      <c r="B429" s="4">
        <f t="shared" si="22"/>
        <v>43521</v>
      </c>
      <c r="C429" s="70"/>
      <c r="D429" s="75"/>
      <c r="E429" s="71"/>
      <c r="F429" s="70"/>
      <c r="G429" s="71"/>
      <c r="H429" s="71"/>
      <c r="I429" s="71"/>
      <c r="J429" s="72">
        <f>J428+SUM(C429:E429)-SUM(F429:I429)</f>
        <v>107813.90000000037</v>
      </c>
    </row>
    <row r="430" spans="1:10" x14ac:dyDescent="0.3">
      <c r="A430" s="22" t="str">
        <f>VLOOKUP(WEEKDAY(B430),Data!$A$2:$B$8,2)</f>
        <v>Tuesday</v>
      </c>
      <c r="B430" s="4">
        <f t="shared" si="22"/>
        <v>43522</v>
      </c>
      <c r="C430" s="70"/>
      <c r="D430" s="71"/>
      <c r="E430" s="71"/>
      <c r="F430" s="108"/>
      <c r="G430" s="107"/>
      <c r="H430" s="71"/>
      <c r="I430" s="71"/>
      <c r="J430" s="72">
        <f>J429+SUM(C430:E430)-SUM(F430:I430)</f>
        <v>107813.90000000037</v>
      </c>
    </row>
    <row r="431" spans="1:10" x14ac:dyDescent="0.3">
      <c r="A431" t="str">
        <f>VLOOKUP(WEEKDAY(B431),Data!$A$2:$B$8,2)</f>
        <v>Wednesday</v>
      </c>
      <c r="B431" s="4">
        <f t="shared" si="22"/>
        <v>43523</v>
      </c>
      <c r="C431" s="70"/>
      <c r="F431" s="70"/>
      <c r="G431" s="71"/>
      <c r="J431" s="72">
        <f t="shared" si="21"/>
        <v>107813.90000000037</v>
      </c>
    </row>
    <row r="432" spans="1:10" x14ac:dyDescent="0.3">
      <c r="A432" t="str">
        <f>VLOOKUP(WEEKDAY(B432),Data!$A$2:$B$8,2)</f>
        <v>Thursday</v>
      </c>
      <c r="B432" s="4">
        <f t="shared" si="22"/>
        <v>43524</v>
      </c>
      <c r="C432" s="70"/>
      <c r="D432" s="71">
        <f>Data!$D$27</f>
        <v>1274533</v>
      </c>
      <c r="E432" s="71"/>
      <c r="F432" s="70"/>
      <c r="G432" s="71"/>
      <c r="H432" s="102">
        <f>Data!$I$41</f>
        <v>8000</v>
      </c>
      <c r="I432" s="102">
        <f>Data!$I$52</f>
        <v>53000</v>
      </c>
      <c r="J432" s="72">
        <f>J431+SUM(C432:E432)-SUM(F432:I432)</f>
        <v>1321346.9000000004</v>
      </c>
    </row>
    <row r="433" spans="1:10" x14ac:dyDescent="0.3">
      <c r="A433" s="22" t="str">
        <f>VLOOKUP(WEEKDAY(B433),Data!$A$2:$B$8,2)</f>
        <v>Friday</v>
      </c>
      <c r="B433" s="4">
        <f t="shared" si="22"/>
        <v>43525</v>
      </c>
      <c r="C433" s="70"/>
      <c r="D433" s="75"/>
      <c r="E433" s="102">
        <f>Data!$D$44</f>
        <v>6000</v>
      </c>
      <c r="F433" s="70"/>
      <c r="G433" s="71"/>
      <c r="J433" s="72">
        <f t="shared" si="21"/>
        <v>1327346.9000000004</v>
      </c>
    </row>
    <row r="434" spans="1:10" x14ac:dyDescent="0.3">
      <c r="A434" s="19" t="str">
        <f>VLOOKUP(WEEKDAY(B434),Data!$A$2:$B$8,2)</f>
        <v>Saturday</v>
      </c>
      <c r="B434" s="60">
        <f t="shared" si="22"/>
        <v>43526</v>
      </c>
      <c r="C434" s="84"/>
      <c r="D434" s="252"/>
      <c r="E434" s="146"/>
      <c r="F434" s="84"/>
      <c r="G434" s="85"/>
      <c r="H434" s="146"/>
      <c r="I434" s="146"/>
      <c r="J434" s="86">
        <f t="shared" si="21"/>
        <v>1327346.9000000004</v>
      </c>
    </row>
    <row r="435" spans="1:10" x14ac:dyDescent="0.3">
      <c r="A435" s="22" t="str">
        <f>VLOOKUP(WEEKDAY(B435),Data!$A$2:$B$8,2)</f>
        <v>Sunday</v>
      </c>
      <c r="B435" s="4">
        <f t="shared" si="22"/>
        <v>43527</v>
      </c>
      <c r="C435" s="70"/>
      <c r="D435" s="75"/>
      <c r="E435" s="102"/>
      <c r="F435" s="70"/>
      <c r="G435" s="71"/>
      <c r="H435" s="71"/>
      <c r="I435" s="71"/>
      <c r="J435" s="72">
        <f t="shared" si="21"/>
        <v>1327346.9000000004</v>
      </c>
    </row>
    <row r="436" spans="1:10" x14ac:dyDescent="0.3">
      <c r="A436" s="22" t="str">
        <f>VLOOKUP(WEEKDAY(B436),Data!$A$2:$B$8,2)</f>
        <v>Monday</v>
      </c>
      <c r="B436" s="4">
        <f t="shared" si="22"/>
        <v>43528</v>
      </c>
      <c r="C436" s="70"/>
      <c r="D436" s="75"/>
      <c r="E436" s="71"/>
      <c r="F436" s="70"/>
      <c r="G436" s="71"/>
      <c r="H436" s="71"/>
      <c r="I436" s="71"/>
      <c r="J436" s="72">
        <f>J435+SUM(C436:E436)-SUM(F436:I436)</f>
        <v>1327346.9000000004</v>
      </c>
    </row>
    <row r="437" spans="1:10" x14ac:dyDescent="0.3">
      <c r="A437" s="22" t="str">
        <f>VLOOKUP(WEEKDAY(B437),Data!$A$2:$B$8,2)</f>
        <v>Tuesday</v>
      </c>
      <c r="B437" s="4">
        <f t="shared" si="22"/>
        <v>43529</v>
      </c>
      <c r="C437" s="70"/>
      <c r="D437" s="75"/>
      <c r="E437" s="71"/>
      <c r="F437" s="108"/>
      <c r="G437" s="71"/>
      <c r="H437" s="71"/>
      <c r="I437" s="71"/>
      <c r="J437" s="72">
        <f>J436+SUM(C437:E437)-SUM(F437:I437)</f>
        <v>1327346.9000000004</v>
      </c>
    </row>
    <row r="438" spans="1:10" x14ac:dyDescent="0.3">
      <c r="A438" t="str">
        <f>VLOOKUP(WEEKDAY(B438),Data!$A$2:$B$8,2)</f>
        <v>Wednesday</v>
      </c>
      <c r="B438" s="4">
        <f t="shared" si="22"/>
        <v>43530</v>
      </c>
      <c r="C438" s="70"/>
      <c r="D438" s="75"/>
      <c r="F438" s="108">
        <f>Data!$I$25</f>
        <v>687000</v>
      </c>
      <c r="G438" s="71"/>
      <c r="J438" s="72">
        <f t="shared" si="21"/>
        <v>640346.90000000037</v>
      </c>
    </row>
    <row r="439" spans="1:10" x14ac:dyDescent="0.3">
      <c r="A439" t="str">
        <f>VLOOKUP(WEEKDAY(B439),Data!$A$2:$B$8,2)</f>
        <v>Thursday</v>
      </c>
      <c r="B439" s="4">
        <f t="shared" si="22"/>
        <v>43531</v>
      </c>
      <c r="C439" s="70"/>
      <c r="D439" s="75"/>
      <c r="E439" s="71"/>
      <c r="F439" s="70"/>
      <c r="G439" s="71"/>
      <c r="H439" s="102">
        <f>Data!$I$41</f>
        <v>8000</v>
      </c>
      <c r="I439" s="102">
        <f>Data!$I$52</f>
        <v>53000</v>
      </c>
      <c r="J439" s="72">
        <f>J438+SUM(C439:E439)-SUM(F439:I439)</f>
        <v>579346.90000000037</v>
      </c>
    </row>
    <row r="440" spans="1:10" x14ac:dyDescent="0.3">
      <c r="A440" t="str">
        <f>VLOOKUP(WEEKDAY(B440),Data!$A$2:$B$8,2)</f>
        <v>Friday</v>
      </c>
      <c r="B440" s="4">
        <f t="shared" si="22"/>
        <v>43532</v>
      </c>
      <c r="C440" s="70"/>
      <c r="D440" s="75"/>
      <c r="E440" s="102">
        <f>Data!$D$44</f>
        <v>6000</v>
      </c>
      <c r="F440" s="70"/>
      <c r="G440" s="71"/>
      <c r="J440" s="72">
        <f t="shared" si="21"/>
        <v>585346.90000000037</v>
      </c>
    </row>
    <row r="441" spans="1:10" x14ac:dyDescent="0.3">
      <c r="A441" s="19" t="str">
        <f>VLOOKUP(WEEKDAY(B441),Data!$A$2:$B$8,2)</f>
        <v>Saturday</v>
      </c>
      <c r="B441" s="60">
        <f t="shared" si="22"/>
        <v>43533</v>
      </c>
      <c r="C441" s="84"/>
      <c r="D441" s="252"/>
      <c r="E441" s="146"/>
      <c r="F441" s="84"/>
      <c r="G441" s="85"/>
      <c r="H441" s="146"/>
      <c r="I441" s="146"/>
      <c r="J441" s="86">
        <f t="shared" si="21"/>
        <v>585346.90000000037</v>
      </c>
    </row>
    <row r="442" spans="1:10" x14ac:dyDescent="0.3">
      <c r="A442" s="22" t="str">
        <f>VLOOKUP(WEEKDAY(B442),Data!$A$2:$B$8,2)</f>
        <v>Sunday</v>
      </c>
      <c r="B442" s="4">
        <f t="shared" si="22"/>
        <v>43534</v>
      </c>
      <c r="C442" s="82"/>
      <c r="D442" s="75"/>
      <c r="E442" s="102"/>
      <c r="F442" s="70"/>
      <c r="G442" s="71"/>
      <c r="H442" s="71"/>
      <c r="I442" s="71"/>
      <c r="J442" s="72">
        <f t="shared" si="21"/>
        <v>585346.90000000037</v>
      </c>
    </row>
    <row r="443" spans="1:10" x14ac:dyDescent="0.3">
      <c r="A443" s="22" t="str">
        <f>VLOOKUP(WEEKDAY(B443),Data!$A$2:$B$8,2)</f>
        <v>Monday</v>
      </c>
      <c r="B443" s="4">
        <f t="shared" si="22"/>
        <v>43535</v>
      </c>
      <c r="C443" s="82">
        <f>Data!$D$16</f>
        <v>73000</v>
      </c>
      <c r="D443" s="75"/>
      <c r="E443" s="71"/>
      <c r="F443" s="70"/>
      <c r="G443" s="71"/>
      <c r="H443" s="71"/>
      <c r="I443" s="71"/>
      <c r="J443" s="72">
        <f>J442+SUM(C443:E443)-SUM(F443:I443)</f>
        <v>658346.90000000037</v>
      </c>
    </row>
    <row r="444" spans="1:10" x14ac:dyDescent="0.3">
      <c r="A444" s="22" t="str">
        <f>VLOOKUP(WEEKDAY(B444),Data!$A$2:$B$8,2)</f>
        <v>Tuesday</v>
      </c>
      <c r="B444" s="4">
        <f t="shared" si="22"/>
        <v>43536</v>
      </c>
      <c r="C444" s="82"/>
      <c r="D444" s="75"/>
      <c r="E444" s="71"/>
      <c r="F444" s="108"/>
      <c r="G444" s="71"/>
      <c r="H444" s="71"/>
      <c r="I444" s="71"/>
      <c r="J444" s="72">
        <f>J443+SUM(C444:E444)-SUM(F444:I444)</f>
        <v>658346.90000000037</v>
      </c>
    </row>
    <row r="445" spans="1:10" x14ac:dyDescent="0.3">
      <c r="A445" t="str">
        <f>VLOOKUP(WEEKDAY(B445),Data!$A$2:$B$8,2)</f>
        <v>Wednesday</v>
      </c>
      <c r="B445" s="4">
        <f t="shared" si="22"/>
        <v>43537</v>
      </c>
      <c r="C445" s="70"/>
      <c r="D445" s="75"/>
      <c r="F445" s="70"/>
      <c r="G445" s="71"/>
      <c r="J445" s="72">
        <f t="shared" ref="J445:J505" si="23">J444+SUM(C445:E445)-SUM(F445:I445)</f>
        <v>658346.90000000037</v>
      </c>
    </row>
    <row r="446" spans="1:10" x14ac:dyDescent="0.3">
      <c r="A446" t="str">
        <f>VLOOKUP(WEEKDAY(B446),Data!$A$2:$B$8,2)</f>
        <v>Thursday</v>
      </c>
      <c r="B446" s="4">
        <f t="shared" si="22"/>
        <v>43538</v>
      </c>
      <c r="C446" s="70"/>
      <c r="D446" s="75"/>
      <c r="E446" s="71"/>
      <c r="F446" s="70"/>
      <c r="G446" s="71"/>
      <c r="H446" s="102">
        <f>Data!$I$41</f>
        <v>8000</v>
      </c>
      <c r="I446" s="102">
        <f>Data!$I$52</f>
        <v>53000</v>
      </c>
      <c r="J446" s="72">
        <f>J445+SUM(C446:E446)-SUM(F446:I446)</f>
        <v>597346.90000000037</v>
      </c>
    </row>
    <row r="447" spans="1:10" x14ac:dyDescent="0.3">
      <c r="A447" t="str">
        <f>VLOOKUP(WEEKDAY(B447),Data!$A$2:$B$8,2)</f>
        <v>Friday</v>
      </c>
      <c r="B447" s="4">
        <f t="shared" ref="B447:B510" si="24">B446+1</f>
        <v>43539</v>
      </c>
      <c r="C447" s="70"/>
      <c r="D447" s="75"/>
      <c r="E447" s="102">
        <f>Data!$D$44</f>
        <v>6000</v>
      </c>
      <c r="F447" s="70"/>
      <c r="G447" s="71"/>
      <c r="J447" s="72">
        <f t="shared" si="23"/>
        <v>603346.90000000037</v>
      </c>
    </row>
    <row r="448" spans="1:10" x14ac:dyDescent="0.3">
      <c r="A448" s="19" t="str">
        <f>VLOOKUP(WEEKDAY(B448),Data!$A$2:$B$8,2)</f>
        <v>Saturday</v>
      </c>
      <c r="B448" s="60">
        <f t="shared" si="24"/>
        <v>43540</v>
      </c>
      <c r="C448" s="84"/>
      <c r="D448" s="252"/>
      <c r="E448" s="146"/>
      <c r="F448" s="84"/>
      <c r="G448" s="85"/>
      <c r="H448" s="146"/>
      <c r="I448" s="146"/>
      <c r="J448" s="86">
        <f t="shared" si="23"/>
        <v>603346.90000000037</v>
      </c>
    </row>
    <row r="449" spans="1:10" x14ac:dyDescent="0.3">
      <c r="A449" s="22" t="str">
        <f>VLOOKUP(WEEKDAY(B449),Data!$A$2:$B$8,2)</f>
        <v>Sunday</v>
      </c>
      <c r="B449" s="4">
        <f t="shared" si="24"/>
        <v>43541</v>
      </c>
      <c r="C449" s="70"/>
      <c r="D449" s="75"/>
      <c r="E449" s="102"/>
      <c r="F449" s="70"/>
      <c r="G449" s="71"/>
      <c r="H449" s="71"/>
      <c r="I449" s="71"/>
      <c r="J449" s="72">
        <f t="shared" si="23"/>
        <v>603346.90000000037</v>
      </c>
    </row>
    <row r="450" spans="1:10" x14ac:dyDescent="0.3">
      <c r="A450" s="22" t="str">
        <f>VLOOKUP(WEEKDAY(B450),Data!$A$2:$B$8,2)</f>
        <v>Monday</v>
      </c>
      <c r="B450" s="4">
        <f t="shared" si="24"/>
        <v>43542</v>
      </c>
      <c r="C450" s="70"/>
      <c r="D450" s="75"/>
      <c r="E450" s="71"/>
      <c r="F450" s="70"/>
      <c r="G450" s="71"/>
      <c r="H450" s="71"/>
      <c r="I450" s="71"/>
      <c r="J450" s="72">
        <f>J449+SUM(C450:E450)-SUM(F450:I450)</f>
        <v>603346.90000000037</v>
      </c>
    </row>
    <row r="451" spans="1:10" x14ac:dyDescent="0.3">
      <c r="A451" s="22" t="str">
        <f>VLOOKUP(WEEKDAY(B451),Data!$A$2:$B$8,2)</f>
        <v>Tuesday</v>
      </c>
      <c r="B451" s="4">
        <f t="shared" si="24"/>
        <v>43543</v>
      </c>
      <c r="C451" s="70"/>
      <c r="D451" s="75"/>
      <c r="E451" s="71"/>
      <c r="F451" s="70"/>
      <c r="G451" s="71"/>
      <c r="H451" s="71"/>
      <c r="I451" s="71"/>
      <c r="J451" s="72">
        <f t="shared" si="23"/>
        <v>603346.90000000037</v>
      </c>
    </row>
    <row r="452" spans="1:10" x14ac:dyDescent="0.3">
      <c r="A452" t="str">
        <f>VLOOKUP(WEEKDAY(B452),Data!$A$2:$B$8,2)</f>
        <v>Wednesday</v>
      </c>
      <c r="B452" s="4">
        <f t="shared" si="24"/>
        <v>43544</v>
      </c>
      <c r="C452" s="70">
        <f>Data!$D$12</f>
        <v>1614000</v>
      </c>
      <c r="D452" s="75"/>
      <c r="E452" s="71"/>
      <c r="F452" s="70"/>
      <c r="G452" s="71"/>
      <c r="J452" s="72">
        <f t="shared" si="23"/>
        <v>2217346.9000000004</v>
      </c>
    </row>
    <row r="453" spans="1:10" x14ac:dyDescent="0.3">
      <c r="A453" t="str">
        <f>VLOOKUP(WEEKDAY(B453),Data!$A$2:$B$8,2)</f>
        <v>Thursday</v>
      </c>
      <c r="B453" s="4">
        <f t="shared" si="24"/>
        <v>43545</v>
      </c>
      <c r="C453" s="70"/>
      <c r="D453" s="75"/>
      <c r="E453" s="71"/>
      <c r="F453" s="108">
        <f>Data!$I$25</f>
        <v>687000</v>
      </c>
      <c r="G453" s="71"/>
      <c r="H453" s="102">
        <f>Data!$I$41</f>
        <v>8000</v>
      </c>
      <c r="I453" s="102">
        <f>Data!$I$52</f>
        <v>53000</v>
      </c>
      <c r="J453" s="72">
        <f>J452+SUM(C453:E453)-SUM(F453:I453)</f>
        <v>1469346.9000000004</v>
      </c>
    </row>
    <row r="454" spans="1:10" x14ac:dyDescent="0.3">
      <c r="A454" t="str">
        <f>VLOOKUP(WEEKDAY(B454),Data!$A$2:$B$8,2)</f>
        <v>Friday</v>
      </c>
      <c r="B454" s="4">
        <f t="shared" si="24"/>
        <v>43546</v>
      </c>
      <c r="C454" s="70"/>
      <c r="D454" s="71"/>
      <c r="E454" s="102">
        <f>Data!$D$44</f>
        <v>6000</v>
      </c>
      <c r="F454" s="108"/>
      <c r="G454" s="71"/>
      <c r="J454" s="72">
        <f t="shared" si="23"/>
        <v>1475346.9000000004</v>
      </c>
    </row>
    <row r="455" spans="1:10" x14ac:dyDescent="0.3">
      <c r="A455" s="19" t="str">
        <f>VLOOKUP(WEEKDAY(B455),Data!$A$2:$B$8,2)</f>
        <v>Saturday</v>
      </c>
      <c r="B455" s="60">
        <f t="shared" si="24"/>
        <v>43547</v>
      </c>
      <c r="C455" s="84"/>
      <c r="D455" s="93"/>
      <c r="E455" s="146"/>
      <c r="F455" s="84"/>
      <c r="G455" s="146"/>
      <c r="H455" s="146"/>
      <c r="I455" s="146"/>
      <c r="J455" s="86">
        <f t="shared" si="23"/>
        <v>1475346.9000000004</v>
      </c>
    </row>
    <row r="456" spans="1:10" x14ac:dyDescent="0.3">
      <c r="A456" s="22" t="str">
        <f>VLOOKUP(WEEKDAY(B456),Data!$A$2:$B$8,2)</f>
        <v>Sunday</v>
      </c>
      <c r="B456" s="4">
        <f t="shared" si="24"/>
        <v>43548</v>
      </c>
      <c r="C456" s="70"/>
      <c r="D456" s="107"/>
      <c r="E456" s="102"/>
      <c r="F456" s="70"/>
      <c r="G456" s="71"/>
      <c r="H456" s="71"/>
      <c r="I456" s="71"/>
      <c r="J456" s="72">
        <f t="shared" si="23"/>
        <v>1475346.9000000004</v>
      </c>
    </row>
    <row r="457" spans="1:10" x14ac:dyDescent="0.3">
      <c r="A457" s="22" t="str">
        <f>VLOOKUP(WEEKDAY(B457),Data!$A$2:$B$8,2)</f>
        <v>Monday</v>
      </c>
      <c r="B457" s="4">
        <f t="shared" si="24"/>
        <v>43549</v>
      </c>
      <c r="C457" s="70"/>
      <c r="D457" s="75"/>
      <c r="E457" s="71"/>
      <c r="F457" s="70"/>
      <c r="G457" s="71"/>
      <c r="H457" s="71"/>
      <c r="I457" s="71"/>
      <c r="J457" s="72">
        <f>J456+SUM(C457:E457)-SUM(F457:I457)</f>
        <v>1475346.9000000004</v>
      </c>
    </row>
    <row r="458" spans="1:10" x14ac:dyDescent="0.3">
      <c r="A458" s="22" t="str">
        <f>VLOOKUP(WEEKDAY(B458),Data!$A$2:$B$8,2)</f>
        <v>Tuesday</v>
      </c>
      <c r="B458" s="4">
        <f t="shared" si="24"/>
        <v>43550</v>
      </c>
      <c r="C458" s="70"/>
      <c r="D458" s="75"/>
      <c r="E458" s="71"/>
      <c r="F458" s="108"/>
      <c r="G458" s="107"/>
      <c r="H458" s="71"/>
      <c r="I458" s="71"/>
      <c r="J458" s="72">
        <f>J457+SUM(C458:E458)-SUM(F458:I458)</f>
        <v>1475346.9000000004</v>
      </c>
    </row>
    <row r="459" spans="1:10" x14ac:dyDescent="0.3">
      <c r="A459" t="str">
        <f>VLOOKUP(WEEKDAY(B459),Data!$A$2:$B$8,2)</f>
        <v>Wednesday</v>
      </c>
      <c r="B459" s="4">
        <f t="shared" si="24"/>
        <v>43551</v>
      </c>
      <c r="C459" s="70"/>
      <c r="D459" s="75"/>
      <c r="F459" s="70"/>
      <c r="G459" s="71"/>
      <c r="J459" s="72">
        <f t="shared" si="23"/>
        <v>1475346.9000000004</v>
      </c>
    </row>
    <row r="460" spans="1:10" x14ac:dyDescent="0.3">
      <c r="A460" t="str">
        <f>VLOOKUP(WEEKDAY(B460),Data!$A$2:$B$8,2)</f>
        <v>Thursday</v>
      </c>
      <c r="B460" s="4">
        <f t="shared" si="24"/>
        <v>43552</v>
      </c>
      <c r="C460" s="70"/>
      <c r="D460" s="75"/>
      <c r="E460" s="71"/>
      <c r="F460" s="70"/>
      <c r="G460" s="285">
        <f>Data!$I$37</f>
        <v>210000</v>
      </c>
      <c r="H460" s="102">
        <f>Data!$I$41</f>
        <v>8000</v>
      </c>
      <c r="I460" s="102">
        <f>Data!$I$52</f>
        <v>53000</v>
      </c>
      <c r="J460" s="72">
        <f>J459+SUM(C460:E460)-SUM(F460:I460)</f>
        <v>1204346.9000000004</v>
      </c>
    </row>
    <row r="461" spans="1:10" x14ac:dyDescent="0.3">
      <c r="A461" t="str">
        <f>VLOOKUP(WEEKDAY(B461),Data!$A$2:$B$8,2)</f>
        <v>Friday</v>
      </c>
      <c r="B461" s="4">
        <f t="shared" si="24"/>
        <v>43553</v>
      </c>
      <c r="C461" s="70"/>
      <c r="D461" s="71">
        <f>Data!$D$28</f>
        <v>637267</v>
      </c>
      <c r="E461" s="102">
        <f>Data!$D$44</f>
        <v>6000</v>
      </c>
      <c r="F461" s="70"/>
      <c r="J461" s="72">
        <f t="shared" si="23"/>
        <v>1847613.9000000004</v>
      </c>
    </row>
    <row r="462" spans="1:10" x14ac:dyDescent="0.3">
      <c r="A462" s="19" t="str">
        <f>VLOOKUP(WEEKDAY(B462),Data!$A$2:$B$8,2)</f>
        <v>Saturday</v>
      </c>
      <c r="B462" s="60">
        <f t="shared" si="24"/>
        <v>43554</v>
      </c>
      <c r="C462" s="84"/>
      <c r="D462" s="85"/>
      <c r="E462" s="146"/>
      <c r="F462" s="84"/>
      <c r="G462" s="146"/>
      <c r="H462" s="146"/>
      <c r="I462" s="146"/>
      <c r="J462" s="86">
        <f t="shared" si="23"/>
        <v>1847613.9000000004</v>
      </c>
    </row>
    <row r="463" spans="1:10" x14ac:dyDescent="0.3">
      <c r="A463" s="22" t="str">
        <f>VLOOKUP(WEEKDAY(B463),Data!$A$2:$B$8,2)</f>
        <v>Sunday</v>
      </c>
      <c r="B463" s="4">
        <f t="shared" si="24"/>
        <v>43555</v>
      </c>
      <c r="C463" s="70"/>
      <c r="D463" s="71"/>
      <c r="E463" s="102"/>
      <c r="F463" s="70"/>
      <c r="G463" s="71"/>
      <c r="H463" s="71"/>
      <c r="I463" s="71"/>
      <c r="J463" s="72">
        <f t="shared" si="23"/>
        <v>1847613.9000000004</v>
      </c>
    </row>
    <row r="464" spans="1:10" x14ac:dyDescent="0.3">
      <c r="A464" s="22" t="str">
        <f>VLOOKUP(WEEKDAY(B464),Data!$A$2:$B$8,2)</f>
        <v>Monday</v>
      </c>
      <c r="B464" s="4">
        <f t="shared" si="24"/>
        <v>43556</v>
      </c>
      <c r="C464" s="70"/>
      <c r="D464" s="75"/>
      <c r="E464" s="71"/>
      <c r="F464" s="70"/>
      <c r="G464" s="71"/>
      <c r="H464" s="71"/>
      <c r="I464" s="109"/>
      <c r="J464" s="72">
        <f>J463+SUM(C464:E464)-SUM(F464:I464)</f>
        <v>1847613.9000000004</v>
      </c>
    </row>
    <row r="465" spans="1:10" x14ac:dyDescent="0.3">
      <c r="A465" s="22" t="str">
        <f>VLOOKUP(WEEKDAY(B465),Data!$A$2:$B$8,2)</f>
        <v>Tuesday</v>
      </c>
      <c r="B465" s="4">
        <f t="shared" si="24"/>
        <v>43557</v>
      </c>
      <c r="C465" s="70"/>
      <c r="D465" s="75"/>
      <c r="E465" s="71"/>
      <c r="F465" s="70"/>
      <c r="G465" s="71"/>
      <c r="H465" s="71"/>
      <c r="I465" s="71"/>
      <c r="J465" s="72">
        <f>J464+SUM(C465:E465)-SUM(F465:I465)</f>
        <v>1847613.9000000004</v>
      </c>
    </row>
    <row r="466" spans="1:10" x14ac:dyDescent="0.3">
      <c r="A466" t="str">
        <f>VLOOKUP(WEEKDAY(B466),Data!$A$2:$B$8,2)</f>
        <v>Wednesday</v>
      </c>
      <c r="B466" s="4">
        <f t="shared" si="24"/>
        <v>43558</v>
      </c>
      <c r="C466" s="70"/>
      <c r="D466" s="75"/>
      <c r="F466" s="70"/>
      <c r="G466" s="71"/>
      <c r="J466" s="72">
        <f t="shared" si="23"/>
        <v>1847613.9000000004</v>
      </c>
    </row>
    <row r="467" spans="1:10" x14ac:dyDescent="0.3">
      <c r="A467" t="str">
        <f>VLOOKUP(WEEKDAY(B467),Data!$A$2:$B$8,2)</f>
        <v>Thursday</v>
      </c>
      <c r="B467" s="4">
        <f t="shared" si="24"/>
        <v>43559</v>
      </c>
      <c r="C467" s="70"/>
      <c r="D467" s="75"/>
      <c r="E467" s="71"/>
      <c r="F467" s="70"/>
      <c r="G467" s="71"/>
      <c r="H467" s="102">
        <f>Data!$I$41</f>
        <v>8000</v>
      </c>
      <c r="I467" s="102">
        <f>Data!$I$52</f>
        <v>53000</v>
      </c>
      <c r="J467" s="72">
        <f>J466+SUM(C467:E467)-SUM(F467:I467)</f>
        <v>1786613.9000000004</v>
      </c>
    </row>
    <row r="468" spans="1:10" x14ac:dyDescent="0.3">
      <c r="A468" t="str">
        <f>VLOOKUP(WEEKDAY(B468),Data!$A$2:$B$8,2)</f>
        <v>Friday</v>
      </c>
      <c r="B468" s="4">
        <f t="shared" si="24"/>
        <v>43560</v>
      </c>
      <c r="C468" s="70"/>
      <c r="D468" s="75"/>
      <c r="E468" s="102">
        <f>Data!$D$44</f>
        <v>6000</v>
      </c>
      <c r="F468" s="108">
        <f>Data!$I$25</f>
        <v>687000</v>
      </c>
      <c r="G468" s="71"/>
      <c r="J468" s="72">
        <f t="shared" si="23"/>
        <v>1105613.9000000004</v>
      </c>
    </row>
    <row r="469" spans="1:10" x14ac:dyDescent="0.3">
      <c r="A469" s="19" t="str">
        <f>VLOOKUP(WEEKDAY(B469),Data!$A$2:$B$8,2)</f>
        <v>Saturday</v>
      </c>
      <c r="B469" s="60">
        <f t="shared" si="24"/>
        <v>43561</v>
      </c>
      <c r="C469" s="84"/>
      <c r="D469" s="252"/>
      <c r="E469" s="146"/>
      <c r="F469" s="232"/>
      <c r="G469" s="85"/>
      <c r="H469" s="146"/>
      <c r="I469" s="146"/>
      <c r="J469" s="86">
        <f t="shared" si="23"/>
        <v>1105613.9000000004</v>
      </c>
    </row>
    <row r="470" spans="1:10" x14ac:dyDescent="0.3">
      <c r="A470" s="22" t="str">
        <f>VLOOKUP(WEEKDAY(B470),Data!$A$2:$B$8,2)</f>
        <v>Sunday</v>
      </c>
      <c r="B470" s="4">
        <f t="shared" si="24"/>
        <v>43562</v>
      </c>
      <c r="C470" s="70"/>
      <c r="D470" s="75"/>
      <c r="E470" s="102"/>
      <c r="F470" s="108"/>
      <c r="G470" s="71"/>
      <c r="H470" s="71"/>
      <c r="I470" s="71"/>
      <c r="J470" s="72">
        <f t="shared" si="23"/>
        <v>1105613.9000000004</v>
      </c>
    </row>
    <row r="471" spans="1:10" x14ac:dyDescent="0.3">
      <c r="A471" s="22" t="str">
        <f>VLOOKUP(WEEKDAY(B471),Data!$A$2:$B$8,2)</f>
        <v>Monday</v>
      </c>
      <c r="B471" s="4">
        <f t="shared" si="24"/>
        <v>43563</v>
      </c>
      <c r="C471" s="70"/>
      <c r="D471" s="75"/>
      <c r="E471" s="71"/>
      <c r="F471" s="70"/>
      <c r="G471" s="71"/>
      <c r="H471" s="71"/>
      <c r="I471" s="71"/>
      <c r="J471" s="72">
        <f>J470+SUM(C471:E471)-SUM(F471:I471)</f>
        <v>1105613.9000000004</v>
      </c>
    </row>
    <row r="472" spans="1:10" x14ac:dyDescent="0.3">
      <c r="A472" s="22" t="str">
        <f>VLOOKUP(WEEKDAY(B472),Data!$A$2:$B$8,2)</f>
        <v>Tuesday</v>
      </c>
      <c r="B472" s="4">
        <f t="shared" si="24"/>
        <v>43564</v>
      </c>
      <c r="C472" s="70"/>
      <c r="D472" s="75"/>
      <c r="E472" s="71"/>
      <c r="F472" s="108"/>
      <c r="G472" s="71"/>
      <c r="H472" s="71"/>
      <c r="I472" s="71"/>
      <c r="J472" s="72">
        <f>J471+SUM(C472:E472)-SUM(F472:I472)</f>
        <v>1105613.9000000004</v>
      </c>
    </row>
    <row r="473" spans="1:10" x14ac:dyDescent="0.3">
      <c r="A473" t="str">
        <f>VLOOKUP(WEEKDAY(B473),Data!$A$2:$B$8,2)</f>
        <v>Wednesday</v>
      </c>
      <c r="B473" s="4">
        <f t="shared" si="24"/>
        <v>43565</v>
      </c>
      <c r="C473" s="82">
        <f>Data!$D$16</f>
        <v>73000</v>
      </c>
      <c r="D473" s="75"/>
      <c r="F473" s="70"/>
      <c r="G473" s="71"/>
      <c r="J473" s="72">
        <f t="shared" si="23"/>
        <v>1178613.9000000004</v>
      </c>
    </row>
    <row r="474" spans="1:10" x14ac:dyDescent="0.3">
      <c r="A474" t="str">
        <f>VLOOKUP(WEEKDAY(B474),Data!$A$2:$B$8,2)</f>
        <v>Thursday</v>
      </c>
      <c r="B474" s="4">
        <f t="shared" si="24"/>
        <v>43566</v>
      </c>
      <c r="C474" s="70"/>
      <c r="D474" s="75"/>
      <c r="E474" s="71"/>
      <c r="F474" s="70"/>
      <c r="G474" s="71"/>
      <c r="H474" s="102">
        <f>Data!$I$41</f>
        <v>8000</v>
      </c>
      <c r="I474" s="102">
        <f>Data!$I$52</f>
        <v>53000</v>
      </c>
      <c r="J474" s="72">
        <f>J473+SUM(C474:E474)-SUM(F474:I474)</f>
        <v>1117613.9000000004</v>
      </c>
    </row>
    <row r="475" spans="1:10" x14ac:dyDescent="0.3">
      <c r="A475" t="str">
        <f>VLOOKUP(WEEKDAY(B475),Data!$A$2:$B$8,2)</f>
        <v>Friday</v>
      </c>
      <c r="B475" s="4">
        <f t="shared" si="24"/>
        <v>43567</v>
      </c>
      <c r="C475" s="82"/>
      <c r="D475" s="75"/>
      <c r="E475" s="102">
        <f>Data!$D$44</f>
        <v>6000</v>
      </c>
      <c r="F475" s="70"/>
      <c r="G475" s="71"/>
      <c r="J475" s="72">
        <f t="shared" si="23"/>
        <v>1123613.9000000004</v>
      </c>
    </row>
    <row r="476" spans="1:10" x14ac:dyDescent="0.3">
      <c r="A476" s="19" t="str">
        <f>VLOOKUP(WEEKDAY(B476),Data!$A$2:$B$8,2)</f>
        <v>Saturday</v>
      </c>
      <c r="B476" s="60">
        <f t="shared" si="24"/>
        <v>43568</v>
      </c>
      <c r="C476" s="84"/>
      <c r="D476" s="252"/>
      <c r="E476" s="146"/>
      <c r="F476" s="84"/>
      <c r="G476" s="85"/>
      <c r="H476" s="146"/>
      <c r="I476" s="146"/>
      <c r="J476" s="86">
        <f t="shared" si="23"/>
        <v>1123613.9000000004</v>
      </c>
    </row>
    <row r="477" spans="1:10" x14ac:dyDescent="0.3">
      <c r="A477" s="22" t="str">
        <f>VLOOKUP(WEEKDAY(B477),Data!$A$2:$B$8,2)</f>
        <v>Sunday</v>
      </c>
      <c r="B477" s="4">
        <f t="shared" si="24"/>
        <v>43569</v>
      </c>
      <c r="C477" s="70"/>
      <c r="D477" s="75"/>
      <c r="E477" s="102"/>
      <c r="F477" s="70"/>
      <c r="G477" s="71"/>
      <c r="H477" s="71"/>
      <c r="I477" s="71"/>
      <c r="J477" s="72">
        <f t="shared" si="23"/>
        <v>1123613.9000000004</v>
      </c>
    </row>
    <row r="478" spans="1:10" x14ac:dyDescent="0.3">
      <c r="A478" s="22" t="str">
        <f>VLOOKUP(WEEKDAY(B478),Data!$A$2:$B$8,2)</f>
        <v>Monday</v>
      </c>
      <c r="B478" s="4">
        <f t="shared" si="24"/>
        <v>43570</v>
      </c>
      <c r="C478" s="70"/>
      <c r="D478" s="75"/>
      <c r="E478" s="71"/>
      <c r="F478" s="70"/>
      <c r="G478" s="71"/>
      <c r="H478" s="71"/>
      <c r="I478" s="71"/>
      <c r="J478" s="72">
        <f>J477+SUM(C478:E478)-SUM(F478:I478)</f>
        <v>1123613.9000000004</v>
      </c>
    </row>
    <row r="479" spans="1:10" x14ac:dyDescent="0.3">
      <c r="A479" s="22" t="str">
        <f>VLOOKUP(WEEKDAY(B479),Data!$A$2:$B$8,2)</f>
        <v>Tuesday</v>
      </c>
      <c r="B479" s="4">
        <f t="shared" si="24"/>
        <v>43571</v>
      </c>
      <c r="C479" s="70"/>
      <c r="D479" s="75"/>
      <c r="E479" s="71"/>
      <c r="F479" s="70"/>
      <c r="G479" s="71"/>
      <c r="H479" s="71"/>
      <c r="I479" s="71"/>
      <c r="J479" s="72">
        <f>J478+SUM(C479:E479)-SUM(F479:I479)</f>
        <v>1123613.9000000004</v>
      </c>
    </row>
    <row r="480" spans="1:10" x14ac:dyDescent="0.3">
      <c r="A480" t="str">
        <f>VLOOKUP(WEEKDAY(B480),Data!$A$2:$B$8,2)</f>
        <v>Wednesday</v>
      </c>
      <c r="B480" s="4">
        <f t="shared" si="24"/>
        <v>43572</v>
      </c>
      <c r="C480" s="70"/>
      <c r="D480" s="75"/>
      <c r="F480" s="70"/>
      <c r="G480" s="71"/>
      <c r="J480" s="72">
        <f t="shared" si="23"/>
        <v>1123613.9000000004</v>
      </c>
    </row>
    <row r="481" spans="1:10" x14ac:dyDescent="0.3">
      <c r="A481" t="str">
        <f>VLOOKUP(WEEKDAY(B481),Data!$A$2:$B$8,2)</f>
        <v>Thursday</v>
      </c>
      <c r="B481" s="4">
        <f t="shared" si="24"/>
        <v>43573</v>
      </c>
      <c r="C481" s="70"/>
      <c r="D481" s="75"/>
      <c r="E481" s="71"/>
      <c r="F481" s="70"/>
      <c r="G481" s="71"/>
      <c r="H481" s="102">
        <f>Data!$I$41</f>
        <v>8000</v>
      </c>
      <c r="I481" s="102">
        <f>Data!$I$52</f>
        <v>53000</v>
      </c>
      <c r="J481" s="72">
        <f>J480+SUM(C481:E481)-SUM(F481:I481)</f>
        <v>1062613.9000000004</v>
      </c>
    </row>
    <row r="482" spans="1:10" x14ac:dyDescent="0.3">
      <c r="A482" t="str">
        <f>VLOOKUP(WEEKDAY(B482),Data!$A$2:$B$8,2)</f>
        <v>Friday</v>
      </c>
      <c r="B482" s="4">
        <f t="shared" si="24"/>
        <v>43574</v>
      </c>
      <c r="C482" s="70"/>
      <c r="D482" s="75"/>
      <c r="E482" s="102">
        <f>Data!$D$44</f>
        <v>6000</v>
      </c>
      <c r="F482" s="108">
        <f>Data!$I$25</f>
        <v>687000</v>
      </c>
      <c r="G482" s="71"/>
      <c r="J482" s="72">
        <f t="shared" si="23"/>
        <v>381613.90000000037</v>
      </c>
    </row>
    <row r="483" spans="1:10" x14ac:dyDescent="0.3">
      <c r="A483" s="19" t="str">
        <f>VLOOKUP(WEEKDAY(B483),Data!$A$2:$B$8,2)</f>
        <v>Saturday</v>
      </c>
      <c r="B483" s="60">
        <f t="shared" si="24"/>
        <v>43575</v>
      </c>
      <c r="C483" s="84"/>
      <c r="D483" s="252"/>
      <c r="E483" s="146"/>
      <c r="F483" s="232"/>
      <c r="G483" s="85"/>
      <c r="H483" s="146"/>
      <c r="I483" s="146"/>
      <c r="J483" s="86">
        <f t="shared" si="23"/>
        <v>381613.90000000037</v>
      </c>
    </row>
    <row r="484" spans="1:10" x14ac:dyDescent="0.3">
      <c r="A484" s="22" t="str">
        <f>VLOOKUP(WEEKDAY(B484),Data!$A$2:$B$8,2)</f>
        <v>Sunday</v>
      </c>
      <c r="B484" s="4">
        <f t="shared" si="24"/>
        <v>43576</v>
      </c>
      <c r="C484" s="70"/>
      <c r="D484" s="75"/>
      <c r="E484" s="102"/>
      <c r="F484" s="108"/>
      <c r="G484" s="71"/>
      <c r="H484" s="71"/>
      <c r="I484" s="71"/>
      <c r="J484" s="72">
        <f t="shared" si="23"/>
        <v>381613.90000000037</v>
      </c>
    </row>
    <row r="485" spans="1:10" x14ac:dyDescent="0.3">
      <c r="A485" s="22" t="str">
        <f>VLOOKUP(WEEKDAY(B485),Data!$A$2:$B$8,2)</f>
        <v>Monday</v>
      </c>
      <c r="B485" s="4">
        <f t="shared" si="24"/>
        <v>43577</v>
      </c>
      <c r="C485" s="70">
        <f>Data!$D$12</f>
        <v>1614000</v>
      </c>
      <c r="D485" s="75"/>
      <c r="E485" s="71"/>
      <c r="F485" s="108"/>
      <c r="G485" s="71"/>
      <c r="H485" s="71"/>
      <c r="I485" s="71"/>
      <c r="J485" s="72">
        <f>J484+SUM(C485:E485)-SUM(F485:I485)</f>
        <v>1995613.9000000004</v>
      </c>
    </row>
    <row r="486" spans="1:10" x14ac:dyDescent="0.3">
      <c r="A486" s="22" t="str">
        <f>VLOOKUP(WEEKDAY(B486),Data!$A$2:$B$8,2)</f>
        <v>Tuesday</v>
      </c>
      <c r="B486" s="4">
        <f t="shared" si="24"/>
        <v>43578</v>
      </c>
      <c r="C486" s="70"/>
      <c r="D486" s="75"/>
      <c r="E486" s="71"/>
      <c r="F486" s="108"/>
      <c r="G486" s="71"/>
      <c r="H486" s="71"/>
      <c r="I486" s="71"/>
      <c r="J486" s="72">
        <f>J485+SUM(C486:E486)-SUM(F486:I486)</f>
        <v>1995613.9000000004</v>
      </c>
    </row>
    <row r="487" spans="1:10" x14ac:dyDescent="0.3">
      <c r="A487" t="str">
        <f>VLOOKUP(WEEKDAY(B487),Data!$A$2:$B$8,2)</f>
        <v>Wednesday</v>
      </c>
      <c r="B487" s="4">
        <f t="shared" si="24"/>
        <v>43579</v>
      </c>
      <c r="C487" s="70"/>
      <c r="D487" s="75"/>
      <c r="F487" s="70"/>
      <c r="G487" s="71"/>
      <c r="J487" s="72">
        <f t="shared" si="23"/>
        <v>1995613.9000000004</v>
      </c>
    </row>
    <row r="488" spans="1:10" x14ac:dyDescent="0.3">
      <c r="A488" t="str">
        <f>VLOOKUP(WEEKDAY(B488),Data!$A$2:$B$8,2)</f>
        <v>Thursday</v>
      </c>
      <c r="B488" s="4">
        <f t="shared" si="24"/>
        <v>43580</v>
      </c>
      <c r="C488" s="70"/>
      <c r="D488" s="75"/>
      <c r="E488" s="71"/>
      <c r="F488" s="70"/>
      <c r="G488" s="285">
        <f>Data!$I$37</f>
        <v>210000</v>
      </c>
      <c r="H488" s="102">
        <f>Data!$I$41</f>
        <v>8000</v>
      </c>
      <c r="I488" s="102">
        <f>Data!$I$52</f>
        <v>53000</v>
      </c>
      <c r="J488" s="72">
        <f>J487+SUM(C488:E488)-SUM(F488:I488)</f>
        <v>1724613.9000000004</v>
      </c>
    </row>
    <row r="489" spans="1:10" x14ac:dyDescent="0.3">
      <c r="A489" t="str">
        <f>VLOOKUP(WEEKDAY(B489),Data!$A$2:$B$8,2)</f>
        <v>Friday</v>
      </c>
      <c r="B489" s="4">
        <f t="shared" si="24"/>
        <v>43581</v>
      </c>
      <c r="C489" s="70"/>
      <c r="D489" s="75"/>
      <c r="E489" s="102">
        <f>Data!$D$44</f>
        <v>6000</v>
      </c>
      <c r="F489" s="70"/>
      <c r="J489" s="72">
        <f t="shared" si="23"/>
        <v>1730613.9000000004</v>
      </c>
    </row>
    <row r="490" spans="1:10" x14ac:dyDescent="0.3">
      <c r="A490" s="19" t="str">
        <f>VLOOKUP(WEEKDAY(B490),Data!$A$2:$B$8,2)</f>
        <v>Saturday</v>
      </c>
      <c r="B490" s="60">
        <f t="shared" si="24"/>
        <v>43582</v>
      </c>
      <c r="C490" s="84"/>
      <c r="D490" s="85"/>
      <c r="E490" s="146"/>
      <c r="F490" s="84"/>
      <c r="G490" s="146"/>
      <c r="H490" s="146"/>
      <c r="I490" s="146"/>
      <c r="J490" s="86">
        <f t="shared" si="23"/>
        <v>1730613.9000000004</v>
      </c>
    </row>
    <row r="491" spans="1:10" x14ac:dyDescent="0.3">
      <c r="A491" s="22" t="str">
        <f>VLOOKUP(WEEKDAY(B491),Data!$A$2:$B$8,2)</f>
        <v>Sunday</v>
      </c>
      <c r="B491" s="4">
        <f t="shared" si="24"/>
        <v>43583</v>
      </c>
      <c r="C491" s="70"/>
      <c r="D491" s="75"/>
      <c r="E491" s="102"/>
      <c r="F491" s="70"/>
      <c r="G491" s="71"/>
      <c r="H491" s="71"/>
      <c r="I491" s="71"/>
      <c r="J491" s="72">
        <f t="shared" si="23"/>
        <v>1730613.9000000004</v>
      </c>
    </row>
    <row r="492" spans="1:10" x14ac:dyDescent="0.3">
      <c r="A492" s="22" t="str">
        <f>VLOOKUP(WEEKDAY(B492),Data!$A$2:$B$8,2)</f>
        <v>Monday</v>
      </c>
      <c r="B492" s="4">
        <f t="shared" si="24"/>
        <v>43584</v>
      </c>
      <c r="C492" s="70"/>
      <c r="D492" s="75">
        <f>Data!$D$29</f>
        <v>0</v>
      </c>
      <c r="E492" s="71"/>
      <c r="F492" s="70"/>
      <c r="G492" s="71"/>
      <c r="H492" s="71"/>
      <c r="I492" s="71"/>
      <c r="J492" s="72">
        <f>J491+SUM(C492:E492)-SUM(F492:I492)</f>
        <v>1730613.9000000004</v>
      </c>
    </row>
    <row r="493" spans="1:10" x14ac:dyDescent="0.3">
      <c r="A493" s="40" t="str">
        <f>VLOOKUP(WEEKDAY(B493),Data!$A$2:$B$8,2)</f>
        <v>Tuesday</v>
      </c>
      <c r="B493" s="111">
        <f t="shared" si="24"/>
        <v>43585</v>
      </c>
      <c r="C493" s="82"/>
      <c r="D493" s="75">
        <f>Data!$D$36+Data!$D$39</f>
        <v>128000</v>
      </c>
      <c r="E493" s="75"/>
      <c r="F493" s="82"/>
      <c r="G493" s="75"/>
      <c r="H493" s="75"/>
      <c r="I493" s="75"/>
      <c r="J493" s="141">
        <f t="shared" si="23"/>
        <v>1858613.9000000004</v>
      </c>
    </row>
    <row r="494" spans="1:10" x14ac:dyDescent="0.3">
      <c r="A494" s="22" t="str">
        <f>VLOOKUP(WEEKDAY(B494),Data!$A$2:$B$8,2)</f>
        <v>Wednesday</v>
      </c>
      <c r="B494" s="4">
        <f t="shared" si="24"/>
        <v>43586</v>
      </c>
      <c r="C494" s="70"/>
      <c r="D494" s="75"/>
      <c r="E494" s="109"/>
      <c r="F494" s="70"/>
      <c r="G494" s="71"/>
      <c r="H494" s="71"/>
      <c r="I494" s="109"/>
      <c r="J494" s="72">
        <f t="shared" si="23"/>
        <v>1858613.9000000004</v>
      </c>
    </row>
    <row r="495" spans="1:10" x14ac:dyDescent="0.3">
      <c r="A495" t="str">
        <f>VLOOKUP(WEEKDAY(B495),Data!$A$2:$B$8,2)</f>
        <v>Thursday</v>
      </c>
      <c r="B495" s="4">
        <f t="shared" si="24"/>
        <v>43587</v>
      </c>
      <c r="C495" s="70"/>
      <c r="D495" s="75"/>
      <c r="E495" s="71"/>
      <c r="F495" s="70"/>
      <c r="G495" s="71"/>
      <c r="H495" s="102">
        <f>Data!$I$41</f>
        <v>8000</v>
      </c>
      <c r="I495" s="102">
        <f>Data!$I$52</f>
        <v>53000</v>
      </c>
      <c r="J495" s="72">
        <f>J494+SUM(C495:E495)-SUM(F495:I495)</f>
        <v>1797613.9000000004</v>
      </c>
    </row>
    <row r="496" spans="1:10" x14ac:dyDescent="0.3">
      <c r="A496" t="str">
        <f>VLOOKUP(WEEKDAY(B496),Data!$A$2:$B$8,2)</f>
        <v>Friday</v>
      </c>
      <c r="B496" s="4">
        <f t="shared" si="24"/>
        <v>43588</v>
      </c>
      <c r="C496" s="70"/>
      <c r="D496" s="75"/>
      <c r="E496" s="102">
        <f>Data!$D$44</f>
        <v>6000</v>
      </c>
      <c r="F496" s="70"/>
      <c r="G496" s="71"/>
      <c r="J496" s="72">
        <f t="shared" si="23"/>
        <v>1803613.9000000004</v>
      </c>
    </row>
    <row r="497" spans="1:10" x14ac:dyDescent="0.3">
      <c r="A497" s="19" t="str">
        <f>VLOOKUP(WEEKDAY(B497),Data!$A$2:$B$8,2)</f>
        <v>Saturday</v>
      </c>
      <c r="B497" s="60">
        <f t="shared" si="24"/>
        <v>43589</v>
      </c>
      <c r="C497" s="84"/>
      <c r="D497" s="252"/>
      <c r="E497" s="146"/>
      <c r="F497" s="232"/>
      <c r="G497" s="85"/>
      <c r="H497" s="146"/>
      <c r="I497" s="146"/>
      <c r="J497" s="86">
        <f t="shared" si="23"/>
        <v>1803613.9000000004</v>
      </c>
    </row>
    <row r="498" spans="1:10" x14ac:dyDescent="0.3">
      <c r="A498" s="22" t="str">
        <f>VLOOKUP(WEEKDAY(B498),Data!$A$2:$B$8,2)</f>
        <v>Sunday</v>
      </c>
      <c r="B498" s="4">
        <f t="shared" si="24"/>
        <v>43590</v>
      </c>
      <c r="C498" s="70"/>
      <c r="D498" s="75"/>
      <c r="E498" s="102"/>
      <c r="F498" s="108"/>
      <c r="G498" s="71"/>
      <c r="H498" s="71"/>
      <c r="I498" s="71"/>
      <c r="J498" s="72">
        <f t="shared" si="23"/>
        <v>1803613.9000000004</v>
      </c>
    </row>
    <row r="499" spans="1:10" x14ac:dyDescent="0.3">
      <c r="A499" s="22" t="str">
        <f>VLOOKUP(WEEKDAY(B499),Data!$A$2:$B$8,2)</f>
        <v>Monday</v>
      </c>
      <c r="B499" s="4">
        <f t="shared" si="24"/>
        <v>43591</v>
      </c>
      <c r="C499" s="70"/>
      <c r="D499" s="75"/>
      <c r="E499" s="71"/>
      <c r="F499" s="108">
        <f>Data!$I$25</f>
        <v>687000</v>
      </c>
      <c r="G499" s="71"/>
      <c r="H499" s="71"/>
      <c r="I499" s="71"/>
      <c r="J499" s="72">
        <f>J498+SUM(C499:E499)-SUM(F499:I499)</f>
        <v>1116613.9000000004</v>
      </c>
    </row>
    <row r="500" spans="1:10" x14ac:dyDescent="0.3">
      <c r="A500" s="22" t="str">
        <f>VLOOKUP(WEEKDAY(B500),Data!$A$2:$B$8,2)</f>
        <v>Tuesday</v>
      </c>
      <c r="B500" s="4">
        <f t="shared" si="24"/>
        <v>43592</v>
      </c>
      <c r="C500" s="70"/>
      <c r="D500" s="75"/>
      <c r="E500" s="71"/>
      <c r="F500" s="108"/>
      <c r="G500" s="71"/>
      <c r="H500" s="71"/>
      <c r="I500" s="71"/>
      <c r="J500" s="72">
        <f>J499+SUM(C500:E500)-SUM(F500:I500)</f>
        <v>1116613.9000000004</v>
      </c>
    </row>
    <row r="501" spans="1:10" x14ac:dyDescent="0.3">
      <c r="A501" t="str">
        <f>VLOOKUP(WEEKDAY(B501),Data!$A$2:$B$8,2)</f>
        <v>Wednesday</v>
      </c>
      <c r="B501" s="4">
        <f t="shared" si="24"/>
        <v>43593</v>
      </c>
      <c r="C501" s="70"/>
      <c r="D501" s="75"/>
      <c r="F501" s="70"/>
      <c r="G501" s="71"/>
      <c r="J501" s="72">
        <f t="shared" si="23"/>
        <v>1116613.9000000004</v>
      </c>
    </row>
    <row r="502" spans="1:10" x14ac:dyDescent="0.3">
      <c r="A502" t="str">
        <f>VLOOKUP(WEEKDAY(B502),Data!$A$2:$B$8,2)</f>
        <v>Thursday</v>
      </c>
      <c r="B502" s="4">
        <f t="shared" si="24"/>
        <v>43594</v>
      </c>
      <c r="C502" s="70"/>
      <c r="D502" s="75"/>
      <c r="E502" s="71"/>
      <c r="F502" s="70"/>
      <c r="G502" s="71"/>
      <c r="H502" s="102">
        <f>Data!$I$41</f>
        <v>8000</v>
      </c>
      <c r="I502" s="102">
        <f>Data!$I$52</f>
        <v>53000</v>
      </c>
      <c r="J502" s="72">
        <f>J501+SUM(C502:E502)-SUM(F502:I502)</f>
        <v>1055613.9000000004</v>
      </c>
    </row>
    <row r="503" spans="1:10" x14ac:dyDescent="0.3">
      <c r="A503" t="str">
        <f>VLOOKUP(WEEKDAY(B503),Data!$A$2:$B$8,2)</f>
        <v>Friday</v>
      </c>
      <c r="B503" s="4">
        <f t="shared" si="24"/>
        <v>43595</v>
      </c>
      <c r="C503" s="82">
        <f>Data!$D$16</f>
        <v>73000</v>
      </c>
      <c r="D503" s="75"/>
      <c r="E503" s="102">
        <f>Data!$D$44</f>
        <v>6000</v>
      </c>
      <c r="F503" s="70"/>
      <c r="G503" s="71"/>
      <c r="J503" s="72">
        <f t="shared" si="23"/>
        <v>1134613.9000000004</v>
      </c>
    </row>
    <row r="504" spans="1:10" x14ac:dyDescent="0.3">
      <c r="A504" s="19" t="str">
        <f>VLOOKUP(WEEKDAY(B504),Data!$A$2:$B$8,2)</f>
        <v>Saturday</v>
      </c>
      <c r="B504" s="60">
        <f t="shared" si="24"/>
        <v>43596</v>
      </c>
      <c r="C504" s="253"/>
      <c r="D504" s="252"/>
      <c r="E504" s="146"/>
      <c r="F504" s="84"/>
      <c r="G504" s="85"/>
      <c r="H504" s="146"/>
      <c r="I504" s="146"/>
      <c r="J504" s="86">
        <f t="shared" si="23"/>
        <v>1134613.9000000004</v>
      </c>
    </row>
    <row r="505" spans="1:10" x14ac:dyDescent="0.3">
      <c r="A505" s="22" t="str">
        <f>VLOOKUP(WEEKDAY(B505),Data!$A$2:$B$8,2)</f>
        <v>Sunday</v>
      </c>
      <c r="B505" s="4">
        <f t="shared" si="24"/>
        <v>43597</v>
      </c>
      <c r="C505" s="82"/>
      <c r="D505" s="75"/>
      <c r="E505" s="102"/>
      <c r="F505" s="70"/>
      <c r="G505" s="71"/>
      <c r="H505" s="71"/>
      <c r="I505" s="71"/>
      <c r="J505" s="72">
        <f t="shared" si="23"/>
        <v>1134613.9000000004</v>
      </c>
    </row>
    <row r="506" spans="1:10" x14ac:dyDescent="0.3">
      <c r="A506" s="22" t="str">
        <f>VLOOKUP(WEEKDAY(B506),Data!$A$2:$B$8,2)</f>
        <v>Monday</v>
      </c>
      <c r="B506" s="4">
        <f t="shared" si="24"/>
        <v>43598</v>
      </c>
      <c r="C506" s="70"/>
      <c r="D506" s="75"/>
      <c r="E506" s="71"/>
      <c r="F506" s="70"/>
      <c r="G506" s="71"/>
      <c r="H506" s="71"/>
      <c r="I506" s="71"/>
      <c r="J506" s="72">
        <f>J505+SUM(C506:E506)-SUM(F506:I506)</f>
        <v>1134613.9000000004</v>
      </c>
    </row>
    <row r="507" spans="1:10" x14ac:dyDescent="0.3">
      <c r="A507" s="22" t="str">
        <f>VLOOKUP(WEEKDAY(B507),Data!$A$2:$B$8,2)</f>
        <v>Tuesday</v>
      </c>
      <c r="B507" s="4">
        <f t="shared" si="24"/>
        <v>43599</v>
      </c>
      <c r="C507" s="70"/>
      <c r="D507" s="75"/>
      <c r="E507" s="71"/>
      <c r="F507" s="70"/>
      <c r="G507" s="71"/>
      <c r="H507" s="71"/>
      <c r="I507" s="71"/>
      <c r="J507" s="72">
        <f>J506+SUM(C507:E507)-SUM(F507:I507)</f>
        <v>1134613.9000000004</v>
      </c>
    </row>
    <row r="508" spans="1:10" x14ac:dyDescent="0.3">
      <c r="A508" t="str">
        <f>VLOOKUP(WEEKDAY(B508),Data!$A$2:$B$8,2)</f>
        <v>Wednesday</v>
      </c>
      <c r="B508" s="4">
        <f t="shared" si="24"/>
        <v>43600</v>
      </c>
      <c r="C508" s="70"/>
      <c r="D508" s="75"/>
      <c r="F508" s="70"/>
      <c r="G508" s="71"/>
      <c r="J508" s="72">
        <f t="shared" ref="J508:J574" si="25">J507+SUM(C508:E508)-SUM(F508:I508)</f>
        <v>1134613.9000000004</v>
      </c>
    </row>
    <row r="509" spans="1:10" x14ac:dyDescent="0.3">
      <c r="A509" t="str">
        <f>VLOOKUP(WEEKDAY(B509),Data!$A$2:$B$8,2)</f>
        <v>Thursday</v>
      </c>
      <c r="B509" s="4">
        <f t="shared" si="24"/>
        <v>43601</v>
      </c>
      <c r="C509" s="70"/>
      <c r="D509" s="75"/>
      <c r="E509" s="71"/>
      <c r="F509" s="70"/>
      <c r="G509" s="71"/>
      <c r="H509" s="102">
        <f>Data!$I$41</f>
        <v>8000</v>
      </c>
      <c r="I509" s="102">
        <f>Data!$I$52</f>
        <v>53000</v>
      </c>
      <c r="J509" s="72">
        <f>J508+SUM(C509:E509)-SUM(F509:I509)</f>
        <v>1073613.9000000004</v>
      </c>
    </row>
    <row r="510" spans="1:10" x14ac:dyDescent="0.3">
      <c r="A510" t="str">
        <f>VLOOKUP(WEEKDAY(B510),Data!$A$2:$B$8,2)</f>
        <v>Friday</v>
      </c>
      <c r="B510" s="4">
        <f t="shared" si="24"/>
        <v>43602</v>
      </c>
      <c r="C510" s="70"/>
      <c r="D510" s="75"/>
      <c r="E510" s="102">
        <f>Data!$D$44</f>
        <v>6000</v>
      </c>
      <c r="F510" s="70"/>
      <c r="G510" s="71"/>
      <c r="J510" s="72">
        <f t="shared" si="25"/>
        <v>1079613.9000000004</v>
      </c>
    </row>
    <row r="511" spans="1:10" x14ac:dyDescent="0.3">
      <c r="A511" s="19" t="str">
        <f>VLOOKUP(WEEKDAY(B511),Data!$A$2:$B$8,2)</f>
        <v>Saturday</v>
      </c>
      <c r="B511" s="60">
        <f t="shared" ref="B511:B577" si="26">B510+1</f>
        <v>43603</v>
      </c>
      <c r="C511" s="84"/>
      <c r="D511" s="252"/>
      <c r="E511" s="146"/>
      <c r="F511" s="84"/>
      <c r="G511" s="85"/>
      <c r="H511" s="146"/>
      <c r="I511" s="146"/>
      <c r="J511" s="86">
        <f t="shared" si="25"/>
        <v>1079613.9000000004</v>
      </c>
    </row>
    <row r="512" spans="1:10" x14ac:dyDescent="0.3">
      <c r="A512" s="22" t="str">
        <f>VLOOKUP(WEEKDAY(B512),Data!$A$2:$B$8,2)</f>
        <v>Sunday</v>
      </c>
      <c r="B512" s="4">
        <f t="shared" si="26"/>
        <v>43604</v>
      </c>
      <c r="C512" s="70"/>
      <c r="D512" s="75"/>
      <c r="E512" s="102"/>
      <c r="F512" s="108"/>
      <c r="G512" s="71"/>
      <c r="H512" s="71"/>
      <c r="I512" s="71"/>
      <c r="J512" s="72">
        <f t="shared" si="25"/>
        <v>1079613.9000000004</v>
      </c>
    </row>
    <row r="513" spans="1:15" x14ac:dyDescent="0.3">
      <c r="A513" s="22" t="str">
        <f>VLOOKUP(WEEKDAY(B513),Data!$A$2:$B$8,2)</f>
        <v>Monday</v>
      </c>
      <c r="B513" s="4">
        <f t="shared" si="26"/>
        <v>43605</v>
      </c>
      <c r="C513" s="70">
        <f>Data!$D$12</f>
        <v>1614000</v>
      </c>
      <c r="D513" s="75"/>
      <c r="E513" s="71"/>
      <c r="F513" s="70"/>
      <c r="G513" s="71"/>
      <c r="H513" s="71"/>
      <c r="I513" s="71"/>
      <c r="J513" s="72">
        <f>J512+SUM(C513:E513)-SUM(F513:I513)</f>
        <v>2693613.9000000004</v>
      </c>
    </row>
    <row r="514" spans="1:15" x14ac:dyDescent="0.3">
      <c r="A514" s="22" t="str">
        <f>VLOOKUP(WEEKDAY(B514),Data!$A$2:$B$8,2)</f>
        <v>Tuesday</v>
      </c>
      <c r="B514" s="4">
        <f t="shared" si="26"/>
        <v>43606</v>
      </c>
      <c r="C514" s="70"/>
      <c r="D514" s="75"/>
      <c r="E514" s="71"/>
      <c r="F514" s="108">
        <f>Data!$I$25</f>
        <v>687000</v>
      </c>
      <c r="G514" s="71"/>
      <c r="H514" s="71"/>
      <c r="I514" s="71"/>
      <c r="J514" s="72">
        <f>J513+SUM(C514:E514)-SUM(F514:I514)</f>
        <v>2006613.9000000004</v>
      </c>
    </row>
    <row r="515" spans="1:15" x14ac:dyDescent="0.3">
      <c r="A515" t="str">
        <f>VLOOKUP(WEEKDAY(B515),Data!$A$2:$B$8,2)</f>
        <v>Wednesday</v>
      </c>
      <c r="B515" s="4">
        <f t="shared" si="26"/>
        <v>43607</v>
      </c>
      <c r="C515" s="70"/>
      <c r="F515" s="70"/>
      <c r="G515" s="71"/>
      <c r="J515" s="72">
        <f t="shared" si="25"/>
        <v>2006613.9000000004</v>
      </c>
    </row>
    <row r="516" spans="1:15" x14ac:dyDescent="0.3">
      <c r="A516" t="str">
        <f>VLOOKUP(WEEKDAY(B516),Data!$A$2:$B$8,2)</f>
        <v>Thursday</v>
      </c>
      <c r="B516" s="4">
        <f t="shared" si="26"/>
        <v>43608</v>
      </c>
      <c r="C516" s="70"/>
      <c r="D516" s="75"/>
      <c r="E516" s="71"/>
      <c r="F516" s="70"/>
      <c r="G516" s="71"/>
      <c r="H516" s="102">
        <f>Data!$I$41</f>
        <v>8000</v>
      </c>
      <c r="I516" s="102">
        <f>Data!$I$52</f>
        <v>53000</v>
      </c>
      <c r="J516" s="72">
        <f>J515+SUM(C516:E516)-SUM(F516:I516)</f>
        <v>1945613.9000000004</v>
      </c>
    </row>
    <row r="517" spans="1:15" x14ac:dyDescent="0.3">
      <c r="A517" t="str">
        <f>VLOOKUP(WEEKDAY(B517),Data!$A$2:$B$8,2)</f>
        <v>Friday</v>
      </c>
      <c r="B517" s="4">
        <f t="shared" si="26"/>
        <v>43609</v>
      </c>
      <c r="C517" s="70"/>
      <c r="E517" s="102">
        <f>Data!$D$44</f>
        <v>6000</v>
      </c>
      <c r="F517" s="70"/>
      <c r="G517" s="285"/>
      <c r="J517" s="72">
        <f t="shared" si="25"/>
        <v>1951613.9000000004</v>
      </c>
    </row>
    <row r="518" spans="1:15" x14ac:dyDescent="0.3">
      <c r="A518" s="19" t="str">
        <f>VLOOKUP(WEEKDAY(B518),Data!$A$2:$B$8,2)</f>
        <v>Saturday</v>
      </c>
      <c r="B518" s="60">
        <f t="shared" si="26"/>
        <v>43610</v>
      </c>
      <c r="C518" s="84"/>
      <c r="D518" s="252"/>
      <c r="E518" s="146"/>
      <c r="F518" s="84"/>
      <c r="G518" s="146"/>
      <c r="H518" s="146"/>
      <c r="I518" s="146"/>
      <c r="J518" s="86">
        <f t="shared" si="25"/>
        <v>1951613.9000000004</v>
      </c>
    </row>
    <row r="519" spans="1:15" x14ac:dyDescent="0.3">
      <c r="A519" s="22" t="str">
        <f>VLOOKUP(WEEKDAY(B519),Data!$A$2:$B$8,2)</f>
        <v>Sunday</v>
      </c>
      <c r="B519" s="4">
        <f t="shared" si="26"/>
        <v>43611</v>
      </c>
      <c r="C519" s="70"/>
      <c r="D519" s="75"/>
      <c r="E519" s="102"/>
      <c r="F519" s="70"/>
      <c r="G519" s="71"/>
      <c r="H519" s="71"/>
      <c r="I519" s="71"/>
      <c r="J519" s="72">
        <f t="shared" si="25"/>
        <v>1951613.9000000004</v>
      </c>
    </row>
    <row r="520" spans="1:15" x14ac:dyDescent="0.3">
      <c r="A520" s="22" t="str">
        <f>VLOOKUP(WEEKDAY(B520),Data!$A$2:$B$8,2)</f>
        <v>Monday</v>
      </c>
      <c r="B520" s="4">
        <f t="shared" si="26"/>
        <v>43612</v>
      </c>
      <c r="C520" s="70"/>
      <c r="D520" s="75"/>
      <c r="E520" s="71"/>
      <c r="F520" s="70"/>
      <c r="G520" s="71"/>
      <c r="H520" s="71"/>
      <c r="I520" s="71"/>
      <c r="J520" s="72">
        <f>J519+SUM(C520:E520)-SUM(F520:I520)</f>
        <v>1951613.9000000004</v>
      </c>
    </row>
    <row r="521" spans="1:15" x14ac:dyDescent="0.3">
      <c r="A521" s="22" t="str">
        <f>VLOOKUP(WEEKDAY(B521),Data!$A$2:$B$8,2)</f>
        <v>Tuesday</v>
      </c>
      <c r="B521" s="4">
        <f t="shared" si="26"/>
        <v>43613</v>
      </c>
      <c r="C521" s="70"/>
      <c r="D521" s="75"/>
      <c r="E521" s="71"/>
      <c r="F521" s="70"/>
      <c r="G521" s="107"/>
      <c r="H521" s="71"/>
      <c r="I521" s="71"/>
      <c r="J521" s="72">
        <f>J520+SUM(C521:E521)-SUM(F521:I521)</f>
        <v>1951613.9000000004</v>
      </c>
    </row>
    <row r="522" spans="1:15" x14ac:dyDescent="0.3">
      <c r="A522" t="str">
        <f>VLOOKUP(WEEKDAY(B522),Data!$A$2:$B$8,2)</f>
        <v>Wednesday</v>
      </c>
      <c r="B522" s="4">
        <f t="shared" si="26"/>
        <v>43614</v>
      </c>
      <c r="C522" s="70"/>
      <c r="D522" s="75"/>
      <c r="F522" s="70"/>
      <c r="G522" s="71"/>
      <c r="J522" s="72">
        <f t="shared" si="25"/>
        <v>1951613.9000000004</v>
      </c>
      <c r="M522" s="163"/>
      <c r="N522" s="163"/>
    </row>
    <row r="523" spans="1:15" x14ac:dyDescent="0.3">
      <c r="A523" t="str">
        <f>VLOOKUP(WEEKDAY(B523),Data!$A$2:$B$8,2)</f>
        <v>Thursday</v>
      </c>
      <c r="B523" s="4">
        <f t="shared" si="26"/>
        <v>43615</v>
      </c>
      <c r="C523" s="70"/>
      <c r="D523" s="71"/>
      <c r="E523" s="71"/>
      <c r="F523" s="70"/>
      <c r="G523" s="285">
        <f>Data!$I$37</f>
        <v>210000</v>
      </c>
      <c r="H523" s="102">
        <f>Data!$I$41</f>
        <v>8000</v>
      </c>
      <c r="I523" s="102">
        <f>Data!$I$52</f>
        <v>53000</v>
      </c>
      <c r="J523" s="72">
        <f>J522+SUM(C523:E523)-SUM(F523:I523)</f>
        <v>1680613.9000000004</v>
      </c>
      <c r="M523" s="163"/>
      <c r="N523" s="163"/>
      <c r="O523" s="163"/>
    </row>
    <row r="524" spans="1:15" x14ac:dyDescent="0.3">
      <c r="A524" s="22" t="str">
        <f>VLOOKUP(WEEKDAY(B524),Data!$A$2:$B$8,2)</f>
        <v>Friday</v>
      </c>
      <c r="B524" s="4">
        <f t="shared" si="26"/>
        <v>43616</v>
      </c>
      <c r="C524" s="70"/>
      <c r="D524" s="71">
        <f>Data!$D$30</f>
        <v>0</v>
      </c>
      <c r="E524" s="102">
        <f>Data!$D$44</f>
        <v>6000</v>
      </c>
      <c r="F524" s="70"/>
      <c r="J524" s="72">
        <f t="shared" si="25"/>
        <v>1686613.9000000004</v>
      </c>
      <c r="M524" s="163"/>
      <c r="N524" s="163"/>
      <c r="O524" s="163"/>
    </row>
    <row r="525" spans="1:15" x14ac:dyDescent="0.3">
      <c r="A525" s="19" t="str">
        <f>VLOOKUP(WEEKDAY(B525),Data!$A$2:$B$8,2)</f>
        <v>Saturday</v>
      </c>
      <c r="B525" s="60">
        <f t="shared" si="26"/>
        <v>43617</v>
      </c>
      <c r="C525" s="84"/>
      <c r="D525" s="252"/>
      <c r="E525" s="146"/>
      <c r="F525" s="84"/>
      <c r="G525" s="85"/>
      <c r="H525" s="146"/>
      <c r="I525" s="146"/>
      <c r="J525" s="86">
        <f t="shared" si="25"/>
        <v>1686613.9000000004</v>
      </c>
      <c r="M525" s="163"/>
      <c r="N525" s="163"/>
      <c r="O525" s="163"/>
    </row>
    <row r="526" spans="1:15" x14ac:dyDescent="0.3">
      <c r="A526" s="22" t="str">
        <f>VLOOKUP(WEEKDAY(B526),Data!$A$2:$B$8,2)</f>
        <v>Sunday</v>
      </c>
      <c r="B526" s="4">
        <f t="shared" si="26"/>
        <v>43618</v>
      </c>
      <c r="C526" s="70"/>
      <c r="D526" s="75"/>
      <c r="E526" s="102"/>
      <c r="F526" s="70"/>
      <c r="G526" s="71"/>
      <c r="H526" s="71"/>
      <c r="I526" s="71"/>
      <c r="J526" s="72">
        <f t="shared" si="25"/>
        <v>1686613.9000000004</v>
      </c>
      <c r="M526" s="163"/>
      <c r="N526" s="163"/>
      <c r="O526" s="163"/>
    </row>
    <row r="527" spans="1:15" x14ac:dyDescent="0.3">
      <c r="A527" s="22" t="str">
        <f>VLOOKUP(WEEKDAY(B527),Data!$A$2:$B$8,2)</f>
        <v>Monday</v>
      </c>
      <c r="B527" s="4">
        <f t="shared" si="26"/>
        <v>43619</v>
      </c>
      <c r="C527" s="70"/>
      <c r="D527" s="75"/>
      <c r="E527" s="71"/>
      <c r="F527" s="70"/>
      <c r="G527" s="71"/>
      <c r="H527" s="71"/>
      <c r="I527" s="71"/>
      <c r="J527" s="72">
        <f>J526+SUM(C527:E527)-SUM(F527:I527)</f>
        <v>1686613.9000000004</v>
      </c>
      <c r="M527" s="163"/>
      <c r="N527" s="163"/>
      <c r="O527" s="163"/>
    </row>
    <row r="528" spans="1:15" x14ac:dyDescent="0.3">
      <c r="A528" s="22" t="str">
        <f>VLOOKUP(WEEKDAY(B528),Data!$A$2:$B$8,2)</f>
        <v>Tuesday</v>
      </c>
      <c r="B528" s="4">
        <f t="shared" si="26"/>
        <v>43620</v>
      </c>
      <c r="C528" s="70"/>
      <c r="D528" s="75"/>
      <c r="E528" s="71"/>
      <c r="F528" s="108"/>
      <c r="G528" s="71"/>
      <c r="H528" s="71"/>
      <c r="I528" s="71"/>
      <c r="J528" s="72">
        <f>J527+SUM(C528:E528)-SUM(F528:I528)</f>
        <v>1686613.9000000004</v>
      </c>
      <c r="M528" s="163"/>
      <c r="N528" s="163"/>
      <c r="O528" s="163"/>
    </row>
    <row r="529" spans="1:19" x14ac:dyDescent="0.3">
      <c r="A529" t="str">
        <f>VLOOKUP(WEEKDAY(B529),Data!$A$2:$B$8,2)</f>
        <v>Wednesday</v>
      </c>
      <c r="B529" s="4">
        <f t="shared" si="26"/>
        <v>43621</v>
      </c>
      <c r="C529" s="70"/>
      <c r="D529" s="75"/>
      <c r="F529" s="70"/>
      <c r="G529" s="71"/>
      <c r="J529" s="72">
        <f t="shared" si="25"/>
        <v>1686613.9000000004</v>
      </c>
      <c r="M529" s="163"/>
      <c r="N529" s="163"/>
      <c r="O529" s="163"/>
    </row>
    <row r="530" spans="1:19" x14ac:dyDescent="0.3">
      <c r="A530" t="str">
        <f>VLOOKUP(WEEKDAY(B530),Data!$A$2:$B$8,2)</f>
        <v>Thursday</v>
      </c>
      <c r="B530" s="4">
        <f t="shared" si="26"/>
        <v>43622</v>
      </c>
      <c r="C530" s="70"/>
      <c r="D530" s="75"/>
      <c r="E530" s="71"/>
      <c r="F530" s="108">
        <f>Data!$I$25</f>
        <v>687000</v>
      </c>
      <c r="G530" s="71"/>
      <c r="H530" s="102">
        <f>Data!$I$41</f>
        <v>8000</v>
      </c>
      <c r="I530" s="102">
        <f>Data!$I$52</f>
        <v>53000</v>
      </c>
      <c r="J530" s="72">
        <f>J529+SUM(C530:E530)-SUM(F530:I530)</f>
        <v>938613.90000000037</v>
      </c>
      <c r="M530" s="163"/>
      <c r="N530" s="163"/>
      <c r="O530" s="163"/>
    </row>
    <row r="531" spans="1:19" x14ac:dyDescent="0.3">
      <c r="A531" t="str">
        <f>VLOOKUP(WEEKDAY(B531),Data!$A$2:$B$8,2)</f>
        <v>Friday</v>
      </c>
      <c r="B531" s="4">
        <f t="shared" si="26"/>
        <v>43623</v>
      </c>
      <c r="C531" s="70"/>
      <c r="D531" s="75"/>
      <c r="E531" s="102">
        <f>Data!$D$44</f>
        <v>6000</v>
      </c>
      <c r="F531" s="108"/>
      <c r="G531" s="71"/>
      <c r="J531" s="72">
        <f t="shared" si="25"/>
        <v>944613.90000000037</v>
      </c>
      <c r="M531" s="163"/>
      <c r="N531" s="163"/>
      <c r="O531" s="163"/>
      <c r="Q531" s="100"/>
      <c r="R531" s="100"/>
      <c r="S531" s="100"/>
    </row>
    <row r="532" spans="1:19" x14ac:dyDescent="0.3">
      <c r="A532" s="19" t="str">
        <f>VLOOKUP(WEEKDAY(B532),Data!$A$2:$B$8,2)</f>
        <v>Saturday</v>
      </c>
      <c r="B532" s="60">
        <f t="shared" si="26"/>
        <v>43624</v>
      </c>
      <c r="C532" s="84"/>
      <c r="D532" s="252"/>
      <c r="E532" s="146"/>
      <c r="F532" s="84"/>
      <c r="G532" s="85"/>
      <c r="H532" s="146"/>
      <c r="I532" s="146"/>
      <c r="J532" s="86">
        <f t="shared" si="25"/>
        <v>944613.90000000037</v>
      </c>
      <c r="M532" s="163"/>
      <c r="N532" s="163"/>
      <c r="O532" s="163"/>
    </row>
    <row r="533" spans="1:19" x14ac:dyDescent="0.3">
      <c r="A533" s="22" t="str">
        <f>VLOOKUP(WEEKDAY(B533),Data!$A$2:$B$8,2)</f>
        <v>Sunday</v>
      </c>
      <c r="B533" s="4">
        <f t="shared" si="26"/>
        <v>43625</v>
      </c>
      <c r="C533" s="70"/>
      <c r="D533" s="75"/>
      <c r="E533" s="102"/>
      <c r="F533" s="70"/>
      <c r="G533" s="71"/>
      <c r="H533" s="71"/>
      <c r="I533" s="71"/>
      <c r="J533" s="72">
        <f t="shared" si="25"/>
        <v>944613.90000000037</v>
      </c>
      <c r="M533" s="163"/>
      <c r="N533" s="163"/>
      <c r="O533" s="163"/>
    </row>
    <row r="534" spans="1:19" x14ac:dyDescent="0.3">
      <c r="A534" s="22" t="str">
        <f>VLOOKUP(WEEKDAY(B534),Data!$A$2:$B$8,2)</f>
        <v>Monday</v>
      </c>
      <c r="B534" s="4">
        <f t="shared" si="26"/>
        <v>43626</v>
      </c>
      <c r="C534" s="82">
        <f>Data!$D$16</f>
        <v>73000</v>
      </c>
      <c r="D534" s="75"/>
      <c r="E534" s="71"/>
      <c r="F534" s="70"/>
      <c r="G534" s="71"/>
      <c r="H534" s="71"/>
      <c r="I534" s="71"/>
      <c r="J534" s="72">
        <f>J533+SUM(C534:E534)-SUM(F534:I534)</f>
        <v>1017613.9000000004</v>
      </c>
      <c r="M534" s="163"/>
      <c r="N534" s="163"/>
      <c r="O534" s="163"/>
    </row>
    <row r="535" spans="1:19" x14ac:dyDescent="0.3">
      <c r="A535" s="22" t="str">
        <f>VLOOKUP(WEEKDAY(B535),Data!$A$2:$B$8,2)</f>
        <v>Tuesday</v>
      </c>
      <c r="B535" s="4">
        <f t="shared" si="26"/>
        <v>43627</v>
      </c>
      <c r="C535" s="82"/>
      <c r="D535" s="75"/>
      <c r="E535" s="71"/>
      <c r="F535" s="70"/>
      <c r="G535" s="71"/>
      <c r="H535" s="71"/>
      <c r="I535" s="71"/>
      <c r="J535" s="72">
        <f t="shared" si="25"/>
        <v>1017613.9000000004</v>
      </c>
      <c r="M535" s="163"/>
      <c r="N535" s="163"/>
      <c r="O535" s="163"/>
    </row>
    <row r="536" spans="1:19" x14ac:dyDescent="0.3">
      <c r="A536" t="str">
        <f>VLOOKUP(WEEKDAY(B536),Data!$A$2:$B$8,2)</f>
        <v>Wednesday</v>
      </c>
      <c r="B536" s="4">
        <f t="shared" si="26"/>
        <v>43628</v>
      </c>
      <c r="C536" s="82"/>
      <c r="D536" s="75"/>
      <c r="E536" s="71"/>
      <c r="F536" s="70"/>
      <c r="G536" s="71"/>
      <c r="J536" s="72">
        <f t="shared" si="25"/>
        <v>1017613.9000000004</v>
      </c>
      <c r="M536" s="163"/>
      <c r="N536" s="163"/>
      <c r="O536" s="163"/>
    </row>
    <row r="537" spans="1:19" x14ac:dyDescent="0.3">
      <c r="A537" t="str">
        <f>VLOOKUP(WEEKDAY(B537),Data!$A$2:$B$8,2)</f>
        <v>Thursday</v>
      </c>
      <c r="B537" s="4">
        <f t="shared" si="26"/>
        <v>43629</v>
      </c>
      <c r="C537" s="70"/>
      <c r="D537" s="75"/>
      <c r="E537" s="71"/>
      <c r="F537" s="70"/>
      <c r="G537" s="71"/>
      <c r="H537" s="102">
        <f>Data!$I$41</f>
        <v>8000</v>
      </c>
      <c r="I537" s="102">
        <f>Data!$I$52</f>
        <v>53000</v>
      </c>
      <c r="J537" s="72">
        <f>J536+SUM(C537:E537)-SUM(F537:I537)</f>
        <v>956613.90000000037</v>
      </c>
      <c r="M537" s="163"/>
      <c r="N537" s="163"/>
      <c r="O537" s="163"/>
    </row>
    <row r="538" spans="1:19" x14ac:dyDescent="0.3">
      <c r="A538" t="str">
        <f>VLOOKUP(WEEKDAY(B538),Data!$A$2:$B$8,2)</f>
        <v>Friday</v>
      </c>
      <c r="B538" s="4">
        <f t="shared" si="26"/>
        <v>43630</v>
      </c>
      <c r="C538" s="70"/>
      <c r="D538" s="75">
        <f>Data!$D$31</f>
        <v>159317</v>
      </c>
      <c r="E538" s="102">
        <f>Data!$D$44</f>
        <v>6000</v>
      </c>
      <c r="F538" s="70"/>
      <c r="G538" s="71"/>
      <c r="J538" s="72">
        <f t="shared" si="25"/>
        <v>1121930.9000000004</v>
      </c>
      <c r="O538" s="163"/>
    </row>
    <row r="539" spans="1:19" x14ac:dyDescent="0.3">
      <c r="A539" s="19" t="str">
        <f>VLOOKUP(WEEKDAY(B539),Data!$A$2:$B$8,2)</f>
        <v>Saturday</v>
      </c>
      <c r="B539" s="60">
        <f t="shared" si="26"/>
        <v>43631</v>
      </c>
      <c r="C539" s="84"/>
      <c r="D539" s="85"/>
      <c r="E539" s="146"/>
      <c r="F539" s="84"/>
      <c r="G539" s="85"/>
      <c r="H539" s="146"/>
      <c r="I539" s="146"/>
      <c r="J539" s="86">
        <f t="shared" si="25"/>
        <v>1121930.9000000004</v>
      </c>
    </row>
    <row r="540" spans="1:19" x14ac:dyDescent="0.3">
      <c r="A540" s="22" t="str">
        <f>VLOOKUP(WEEKDAY(B540),Data!$A$2:$B$8,2)</f>
        <v>Sunday</v>
      </c>
      <c r="B540" s="4">
        <f t="shared" si="26"/>
        <v>43632</v>
      </c>
      <c r="C540" s="70"/>
      <c r="D540" s="75"/>
      <c r="E540" s="102"/>
      <c r="F540" s="70"/>
      <c r="G540" s="71"/>
      <c r="H540" s="71"/>
      <c r="I540" s="71"/>
      <c r="J540" s="72">
        <f t="shared" si="25"/>
        <v>1121930.9000000004</v>
      </c>
    </row>
    <row r="541" spans="1:19" x14ac:dyDescent="0.3">
      <c r="A541" s="22" t="str">
        <f>VLOOKUP(WEEKDAY(B541),Data!$A$2:$B$8,2)</f>
        <v>Monday</v>
      </c>
      <c r="B541" s="4">
        <f t="shared" si="26"/>
        <v>43633</v>
      </c>
      <c r="C541" s="70"/>
      <c r="D541" s="75"/>
      <c r="E541" s="71"/>
      <c r="F541" s="70"/>
      <c r="G541" s="71"/>
      <c r="H541" s="71"/>
      <c r="I541" s="71"/>
      <c r="J541" s="72">
        <f>J540+SUM(C541:E541)-SUM(F541:I541)</f>
        <v>1121930.9000000004</v>
      </c>
    </row>
    <row r="542" spans="1:19" x14ac:dyDescent="0.3">
      <c r="A542" s="22" t="str">
        <f>VLOOKUP(WEEKDAY(B542),Data!$A$2:$B$8,2)</f>
        <v>Tuesday</v>
      </c>
      <c r="B542" s="4">
        <f t="shared" si="26"/>
        <v>43634</v>
      </c>
      <c r="C542" s="70"/>
      <c r="D542" s="75"/>
      <c r="E542" s="71"/>
      <c r="F542" s="108"/>
      <c r="G542" s="71"/>
      <c r="H542" s="71"/>
      <c r="I542" s="71"/>
      <c r="J542" s="72">
        <f>J541+SUM(C542:E542)-SUM(F542:I542)</f>
        <v>1121930.9000000004</v>
      </c>
      <c r="M542" s="163"/>
      <c r="N542" s="163"/>
    </row>
    <row r="543" spans="1:19" x14ac:dyDescent="0.3">
      <c r="A543" t="str">
        <f>VLOOKUP(WEEKDAY(B543),Data!$A$2:$B$8,2)</f>
        <v>Wednesday</v>
      </c>
      <c r="B543" s="4">
        <f t="shared" si="26"/>
        <v>43635</v>
      </c>
      <c r="C543" s="70"/>
      <c r="D543" s="75"/>
      <c r="F543" s="70"/>
      <c r="G543" s="71"/>
      <c r="J543" s="72">
        <f t="shared" si="25"/>
        <v>1121930.9000000004</v>
      </c>
      <c r="M543" s="163"/>
      <c r="N543" s="163"/>
      <c r="O543" s="163"/>
    </row>
    <row r="544" spans="1:19" x14ac:dyDescent="0.3">
      <c r="A544" t="str">
        <f>VLOOKUP(WEEKDAY(B544),Data!$A$2:$B$8,2)</f>
        <v>Thursday</v>
      </c>
      <c r="B544" s="4">
        <f t="shared" si="26"/>
        <v>43636</v>
      </c>
      <c r="C544" s="70">
        <f>Data!$D$12</f>
        <v>1614000</v>
      </c>
      <c r="D544" s="75"/>
      <c r="E544" s="71"/>
      <c r="F544" s="70"/>
      <c r="G544" s="71"/>
      <c r="H544" s="102">
        <f>Data!$I$41</f>
        <v>8000</v>
      </c>
      <c r="I544" s="102">
        <f>Data!$I$52</f>
        <v>53000</v>
      </c>
      <c r="J544" s="72">
        <f>J543+SUM(C544:E544)-SUM(F544:I544)</f>
        <v>2674930.9000000004</v>
      </c>
      <c r="M544" s="163"/>
      <c r="N544" s="163"/>
      <c r="O544" s="163"/>
    </row>
    <row r="545" spans="1:19" x14ac:dyDescent="0.3">
      <c r="A545" t="str">
        <f>VLOOKUP(WEEKDAY(B545),Data!$A$2:$B$8,2)</f>
        <v>Friday</v>
      </c>
      <c r="B545" s="4">
        <f t="shared" si="26"/>
        <v>43637</v>
      </c>
      <c r="C545" s="70"/>
      <c r="D545" s="75"/>
      <c r="E545" s="102">
        <f>Data!$D$44</f>
        <v>6000</v>
      </c>
      <c r="F545" s="108">
        <f>Data!$I$25</f>
        <v>687000</v>
      </c>
      <c r="G545" s="71"/>
      <c r="J545" s="72">
        <f t="shared" si="25"/>
        <v>1993930.9000000004</v>
      </c>
      <c r="M545" s="163"/>
      <c r="N545" s="163"/>
      <c r="O545" s="163"/>
    </row>
    <row r="546" spans="1:19" x14ac:dyDescent="0.3">
      <c r="A546" s="19" t="str">
        <f>VLOOKUP(WEEKDAY(B546),Data!$A$2:$B$8,2)</f>
        <v>Saturday</v>
      </c>
      <c r="B546" s="60">
        <f t="shared" si="26"/>
        <v>43638</v>
      </c>
      <c r="C546" s="84"/>
      <c r="D546" s="252"/>
      <c r="E546" s="146"/>
      <c r="F546" s="232"/>
      <c r="G546" s="85"/>
      <c r="H546" s="146"/>
      <c r="I546" s="146"/>
      <c r="J546" s="86">
        <f>J545+SUM(C546:E546)-SUM(F546:I546)</f>
        <v>1993930.9000000004</v>
      </c>
      <c r="M546" s="163"/>
      <c r="N546" s="163"/>
      <c r="O546" s="163"/>
    </row>
    <row r="547" spans="1:19" x14ac:dyDescent="0.3">
      <c r="A547" s="22" t="str">
        <f>VLOOKUP(WEEKDAY(B547),Data!$A$2:$B$8,2)</f>
        <v>Sunday</v>
      </c>
      <c r="B547" s="4">
        <f t="shared" si="26"/>
        <v>43639</v>
      </c>
      <c r="C547" s="70"/>
      <c r="D547" s="75"/>
      <c r="E547" s="102"/>
      <c r="F547" s="70"/>
      <c r="G547" s="71"/>
      <c r="H547" s="71"/>
      <c r="I547" s="71"/>
      <c r="J547" s="72">
        <f t="shared" si="25"/>
        <v>1993930.9000000004</v>
      </c>
      <c r="O547" s="163"/>
    </row>
    <row r="548" spans="1:19" x14ac:dyDescent="0.3">
      <c r="A548" s="22" t="str">
        <f>VLOOKUP(WEEKDAY(B548),Data!$A$2:$B$8,2)</f>
        <v>Monday</v>
      </c>
      <c r="B548" s="4">
        <f t="shared" si="26"/>
        <v>43640</v>
      </c>
      <c r="C548" s="70"/>
      <c r="D548" s="75"/>
      <c r="E548" s="71"/>
      <c r="F548" s="70"/>
      <c r="G548" s="71"/>
      <c r="H548" s="71"/>
      <c r="I548" s="71"/>
      <c r="J548" s="72">
        <f>J547+SUM(C548:E548)-SUM(F548:I548)</f>
        <v>1993930.9000000004</v>
      </c>
    </row>
    <row r="549" spans="1:19" x14ac:dyDescent="0.3">
      <c r="A549" s="22" t="str">
        <f>VLOOKUP(WEEKDAY(B549),Data!$A$2:$B$8,2)</f>
        <v>Tuesday</v>
      </c>
      <c r="B549" s="4">
        <f t="shared" si="26"/>
        <v>43641</v>
      </c>
      <c r="C549" s="70"/>
      <c r="D549" s="75"/>
      <c r="E549" s="71"/>
      <c r="F549" s="70"/>
      <c r="G549" s="107"/>
      <c r="H549" s="71"/>
      <c r="I549" s="71"/>
      <c r="J549" s="72">
        <f>J548+SUM(C549:E549)-SUM(F549:I549)</f>
        <v>1993930.9000000004</v>
      </c>
    </row>
    <row r="550" spans="1:19" x14ac:dyDescent="0.3">
      <c r="A550" t="str">
        <f>VLOOKUP(WEEKDAY(B550),Data!$A$2:$B$8,2)</f>
        <v>Wednesday</v>
      </c>
      <c r="B550" s="4">
        <f t="shared" si="26"/>
        <v>43642</v>
      </c>
      <c r="C550" s="70"/>
      <c r="D550" s="75"/>
      <c r="F550" s="70"/>
      <c r="G550" s="71"/>
      <c r="J550" s="72">
        <f t="shared" si="25"/>
        <v>1993930.9000000004</v>
      </c>
      <c r="M550" s="163"/>
      <c r="N550" s="163"/>
    </row>
    <row r="551" spans="1:19" x14ac:dyDescent="0.3">
      <c r="A551" t="str">
        <f>VLOOKUP(WEEKDAY(B551),Data!$A$2:$B$8,2)</f>
        <v>Thursday</v>
      </c>
      <c r="B551" s="4">
        <f t="shared" si="26"/>
        <v>43643</v>
      </c>
      <c r="C551" s="70"/>
      <c r="D551" s="75"/>
      <c r="E551" s="71"/>
      <c r="F551" s="70"/>
      <c r="G551" s="285">
        <f>Data!$I$37</f>
        <v>210000</v>
      </c>
      <c r="H551" s="102">
        <f>Data!$I$41</f>
        <v>8000</v>
      </c>
      <c r="I551" s="102">
        <f>Data!$I$52</f>
        <v>53000</v>
      </c>
      <c r="J551" s="72">
        <f>J550+SUM(C551:E551)-SUM(F551:I551)</f>
        <v>1722930.9000000004</v>
      </c>
    </row>
    <row r="552" spans="1:19" x14ac:dyDescent="0.3">
      <c r="A552" t="str">
        <f>VLOOKUP(WEEKDAY(B552),Data!$A$2:$B$8,2)</f>
        <v>Friday</v>
      </c>
      <c r="B552" s="4">
        <f t="shared" si="26"/>
        <v>43644</v>
      </c>
      <c r="C552" s="70"/>
      <c r="D552" s="75"/>
      <c r="E552" s="102">
        <f>Data!$D$44</f>
        <v>6000</v>
      </c>
      <c r="F552" s="70"/>
      <c r="J552" s="72">
        <f t="shared" si="25"/>
        <v>1728930.9000000004</v>
      </c>
    </row>
    <row r="553" spans="1:19" x14ac:dyDescent="0.3">
      <c r="A553" s="19" t="str">
        <f>VLOOKUP(WEEKDAY(B553),Data!$A$2:$B$8,2)</f>
        <v>Saturday</v>
      </c>
      <c r="B553" s="60">
        <f t="shared" si="26"/>
        <v>43645</v>
      </c>
      <c r="C553" s="84"/>
      <c r="D553" s="252"/>
      <c r="E553" s="146"/>
      <c r="F553" s="84"/>
      <c r="G553" s="146"/>
      <c r="H553" s="146"/>
      <c r="I553" s="146"/>
      <c r="J553" s="86">
        <f t="shared" si="25"/>
        <v>1728930.9000000004</v>
      </c>
      <c r="L553" s="112"/>
    </row>
    <row r="554" spans="1:19" x14ac:dyDescent="0.3">
      <c r="A554" s="100" t="str">
        <f>VLOOKUP(WEEKDAY(B554),Data!$A$2:$B$8,2)</f>
        <v>Sunday</v>
      </c>
      <c r="B554" s="4">
        <f t="shared" si="26"/>
        <v>43646</v>
      </c>
      <c r="C554" s="70"/>
      <c r="D554" s="75"/>
      <c r="E554" s="102"/>
      <c r="F554" s="70"/>
      <c r="G554" s="71"/>
      <c r="H554" s="71"/>
      <c r="I554" s="71"/>
      <c r="J554" s="72">
        <f t="shared" ref="J554" si="27">J553+SUM(C554:E554)-SUM(F554:I554)</f>
        <v>1728930.9000000004</v>
      </c>
      <c r="L554" s="293" t="s">
        <v>79</v>
      </c>
      <c r="M554" s="294" t="s">
        <v>139</v>
      </c>
      <c r="N554" s="295" t="s">
        <v>83</v>
      </c>
      <c r="O554" s="296" t="s">
        <v>1</v>
      </c>
    </row>
    <row r="555" spans="1:19" x14ac:dyDescent="0.3">
      <c r="A555" s="16"/>
      <c r="B555" s="8"/>
      <c r="C555" s="76">
        <f t="shared" ref="C555:I555" si="28">SUM(C190:C554)</f>
        <v>18554000</v>
      </c>
      <c r="D555" s="77">
        <f t="shared" si="28"/>
        <v>3721334</v>
      </c>
      <c r="E555" s="77">
        <f t="shared" si="28"/>
        <v>312000</v>
      </c>
      <c r="F555" s="76">
        <f t="shared" si="28"/>
        <v>16424000</v>
      </c>
      <c r="G555" s="77">
        <f t="shared" si="28"/>
        <v>2520000</v>
      </c>
      <c r="H555" s="77">
        <f t="shared" si="28"/>
        <v>445150</v>
      </c>
      <c r="I555" s="77">
        <f t="shared" si="28"/>
        <v>5731000</v>
      </c>
      <c r="J555" s="302">
        <f>MIN(J190:J554)</f>
        <v>-1833403.0999999996</v>
      </c>
      <c r="L555" s="21">
        <v>1574756</v>
      </c>
      <c r="M555" s="21">
        <v>168178</v>
      </c>
      <c r="N555" s="34">
        <f>L555-M555</f>
        <v>1406578</v>
      </c>
      <c r="O555" s="94">
        <v>43146</v>
      </c>
    </row>
    <row r="556" spans="1:19" x14ac:dyDescent="0.3">
      <c r="B556" s="4"/>
      <c r="C556" s="310">
        <f>SUM(C555:E555)</f>
        <v>22587334</v>
      </c>
      <c r="D556" s="311"/>
      <c r="E556" s="312"/>
      <c r="F556" s="313">
        <f>SUM(F555:I555)</f>
        <v>25120150</v>
      </c>
      <c r="G556" s="314"/>
      <c r="H556" s="314"/>
      <c r="I556" s="315"/>
      <c r="J556" s="303"/>
      <c r="L556" s="96">
        <v>2519365</v>
      </c>
      <c r="M556" s="96">
        <v>29434.89</v>
      </c>
      <c r="N556" s="97">
        <f t="shared" ref="N556:N560" si="29">L556-M556</f>
        <v>2489930.11</v>
      </c>
      <c r="O556" s="94">
        <v>42157</v>
      </c>
    </row>
    <row r="557" spans="1:19" s="100" customFormat="1" x14ac:dyDescent="0.3">
      <c r="A557" s="299" t="s">
        <v>248</v>
      </c>
      <c r="B557" s="300"/>
      <c r="C557" s="300"/>
      <c r="D557" s="300"/>
      <c r="E557" s="300"/>
      <c r="F557" s="300"/>
      <c r="G557" s="300"/>
      <c r="H557" s="300"/>
      <c r="I557" s="301"/>
      <c r="J557" s="69">
        <f>J554</f>
        <v>1728930.9000000004</v>
      </c>
      <c r="K557" s="213"/>
      <c r="L557" s="96">
        <v>2512384</v>
      </c>
      <c r="M557" s="96">
        <v>545626</v>
      </c>
      <c r="N557" s="97">
        <f t="shared" si="29"/>
        <v>1966758</v>
      </c>
      <c r="O557" s="94">
        <v>42177</v>
      </c>
      <c r="P557"/>
      <c r="Q557"/>
      <c r="R557"/>
      <c r="S557"/>
    </row>
    <row r="558" spans="1:19" x14ac:dyDescent="0.3">
      <c r="A558" t="str">
        <f>VLOOKUP(WEEKDAY(B558),Data!$A$2:$B$8,2)</f>
        <v>Monday</v>
      </c>
      <c r="B558" s="3">
        <v>43647</v>
      </c>
      <c r="C558" s="70"/>
      <c r="D558" s="75"/>
      <c r="E558" s="71"/>
      <c r="F558" s="108"/>
      <c r="G558" s="71"/>
      <c r="H558" s="71"/>
      <c r="I558" s="71"/>
      <c r="J558" s="72">
        <f>J557+SUM(C558:E558)-SUM(F558:I558)</f>
        <v>1728930.9000000004</v>
      </c>
      <c r="L558" s="96">
        <v>2124629</v>
      </c>
      <c r="M558" s="96">
        <v>390668</v>
      </c>
      <c r="N558" s="97">
        <f t="shared" si="29"/>
        <v>1733961</v>
      </c>
      <c r="O558" s="94">
        <v>42184</v>
      </c>
    </row>
    <row r="559" spans="1:19" x14ac:dyDescent="0.3">
      <c r="A559" s="22" t="str">
        <f>VLOOKUP(WEEKDAY(B559),Data!$A$2:$B$8,2)</f>
        <v>Tuesday</v>
      </c>
      <c r="B559" s="4">
        <f t="shared" si="26"/>
        <v>43648</v>
      </c>
      <c r="C559" s="70"/>
      <c r="D559" s="75"/>
      <c r="E559" s="71"/>
      <c r="F559" s="70"/>
      <c r="G559" s="71"/>
      <c r="H559" s="71"/>
      <c r="I559" s="71"/>
      <c r="J559" s="72">
        <f t="shared" si="25"/>
        <v>1728930.9000000004</v>
      </c>
      <c r="L559" s="96">
        <v>1830201</v>
      </c>
      <c r="M559" s="96">
        <v>330332.68</v>
      </c>
      <c r="N559" s="97">
        <f t="shared" si="29"/>
        <v>1499868.32</v>
      </c>
      <c r="O559" s="94">
        <v>42192</v>
      </c>
    </row>
    <row r="560" spans="1:19" x14ac:dyDescent="0.3">
      <c r="A560" s="22" t="str">
        <f>VLOOKUP(WEEKDAY(B560),Data!$A$2:$B$8,2)</f>
        <v>Wednesday</v>
      </c>
      <c r="B560" s="4">
        <f t="shared" si="26"/>
        <v>43649</v>
      </c>
      <c r="C560" s="70"/>
      <c r="D560" s="75"/>
      <c r="E560" s="107"/>
      <c r="F560" s="70"/>
      <c r="G560" s="71"/>
      <c r="H560" s="107"/>
      <c r="I560" s="107"/>
      <c r="J560" s="72">
        <f t="shared" si="25"/>
        <v>1728930.9000000004</v>
      </c>
      <c r="L560" s="96">
        <v>1727457</v>
      </c>
      <c r="M560" s="96">
        <v>29923</v>
      </c>
      <c r="N560" s="97">
        <f t="shared" si="29"/>
        <v>1697534</v>
      </c>
      <c r="O560" s="94">
        <v>42207</v>
      </c>
    </row>
    <row r="561" spans="1:12" x14ac:dyDescent="0.3">
      <c r="A561" t="str">
        <f>VLOOKUP(WEEKDAY(B561),Data!$A$2:$B$8,2)</f>
        <v>Thursday</v>
      </c>
      <c r="B561" s="4">
        <f t="shared" si="26"/>
        <v>43650</v>
      </c>
      <c r="C561" s="70"/>
      <c r="D561" s="75"/>
      <c r="E561" s="71"/>
      <c r="F561" s="70"/>
      <c r="G561" s="71"/>
      <c r="H561" s="102">
        <f>Data!$I$41</f>
        <v>8000</v>
      </c>
      <c r="I561" s="102">
        <f>Data!$I$52</f>
        <v>53000</v>
      </c>
      <c r="J561" s="72">
        <f>J560+SUM(C561:E561)-SUM(F561:I561)</f>
        <v>1667930.9000000004</v>
      </c>
    </row>
    <row r="562" spans="1:12" x14ac:dyDescent="0.3">
      <c r="A562" t="str">
        <f>VLOOKUP(WEEKDAY(B562),Data!$A$2:$B$8,2)</f>
        <v>Friday</v>
      </c>
      <c r="B562" s="4">
        <f t="shared" si="26"/>
        <v>43651</v>
      </c>
      <c r="C562" s="70"/>
      <c r="D562" s="75"/>
      <c r="E562" s="102">
        <f>Data!$D$44</f>
        <v>6000</v>
      </c>
      <c r="F562" s="108">
        <f>Data!$I$25</f>
        <v>687000</v>
      </c>
      <c r="G562" s="71"/>
      <c r="J562" s="72">
        <f t="shared" si="25"/>
        <v>986930.90000000037</v>
      </c>
      <c r="L562" s="55"/>
    </row>
    <row r="563" spans="1:12" x14ac:dyDescent="0.3">
      <c r="A563" s="19" t="str">
        <f>VLOOKUP(WEEKDAY(B563),Data!$A$2:$B$8,2)</f>
        <v>Saturday</v>
      </c>
      <c r="B563" s="60">
        <f t="shared" si="26"/>
        <v>43652</v>
      </c>
      <c r="C563" s="84"/>
      <c r="D563" s="252"/>
      <c r="E563" s="146"/>
      <c r="F563" s="232"/>
      <c r="G563" s="85"/>
      <c r="H563" s="146"/>
      <c r="I563" s="146"/>
      <c r="J563" s="86">
        <f t="shared" si="25"/>
        <v>986930.90000000037</v>
      </c>
    </row>
    <row r="564" spans="1:12" x14ac:dyDescent="0.3">
      <c r="A564" s="22" t="str">
        <f>VLOOKUP(WEEKDAY(B564),Data!$A$2:$B$8,2)</f>
        <v>Sunday</v>
      </c>
      <c r="B564" s="4">
        <f t="shared" si="26"/>
        <v>43653</v>
      </c>
      <c r="C564" s="70"/>
      <c r="D564" s="75"/>
      <c r="E564" s="102"/>
      <c r="F564" s="70"/>
      <c r="G564" s="71"/>
      <c r="H564" s="71"/>
      <c r="I564" s="71"/>
      <c r="J564" s="72">
        <f>J563+SUM(C564:E564)-SUM(F564:I564)</f>
        <v>986930.90000000037</v>
      </c>
      <c r="K564" s="260"/>
    </row>
    <row r="565" spans="1:12" x14ac:dyDescent="0.3">
      <c r="A565" s="22" t="str">
        <f>VLOOKUP(WEEKDAY(B565),Data!$A$2:$B$8,2)</f>
        <v>Monday</v>
      </c>
      <c r="B565" s="4">
        <f t="shared" si="26"/>
        <v>43654</v>
      </c>
      <c r="C565" s="70"/>
      <c r="D565" s="75"/>
      <c r="E565" s="71"/>
      <c r="F565" s="70"/>
      <c r="G565" s="71"/>
      <c r="H565" s="71"/>
      <c r="I565" s="71"/>
      <c r="J565" s="72">
        <f>J564+SUM(C565:E565)-SUM(F565:I565)</f>
        <v>986930.90000000037</v>
      </c>
    </row>
    <row r="566" spans="1:12" x14ac:dyDescent="0.3">
      <c r="A566" s="22" t="str">
        <f>VLOOKUP(WEEKDAY(B566),Data!$A$2:$B$8,2)</f>
        <v>Tuesday</v>
      </c>
      <c r="B566" s="4">
        <f t="shared" si="26"/>
        <v>43655</v>
      </c>
      <c r="C566" s="70"/>
      <c r="D566" s="75"/>
      <c r="E566" s="71"/>
      <c r="F566" s="70"/>
      <c r="G566" s="71"/>
      <c r="H566" s="71"/>
      <c r="I566" s="71"/>
      <c r="J566" s="72">
        <f t="shared" si="25"/>
        <v>986930.90000000037</v>
      </c>
    </row>
    <row r="567" spans="1:12" x14ac:dyDescent="0.3">
      <c r="A567" t="str">
        <f>VLOOKUP(WEEKDAY(B567),Data!$A$2:$B$8,2)</f>
        <v>Wednesday</v>
      </c>
      <c r="B567" s="4">
        <f t="shared" si="26"/>
        <v>43656</v>
      </c>
      <c r="C567" s="82">
        <f>Data!$D$16</f>
        <v>73000</v>
      </c>
      <c r="D567" s="75"/>
      <c r="F567" s="70"/>
      <c r="G567" s="71"/>
      <c r="J567" s="72">
        <f t="shared" si="25"/>
        <v>1059930.9000000004</v>
      </c>
    </row>
    <row r="568" spans="1:12" x14ac:dyDescent="0.3">
      <c r="A568" t="str">
        <f>VLOOKUP(WEEKDAY(B568),Data!$A$2:$B$8,2)</f>
        <v>Thursday</v>
      </c>
      <c r="B568" s="4">
        <f t="shared" si="26"/>
        <v>43657</v>
      </c>
      <c r="C568" s="82"/>
      <c r="D568" s="75"/>
      <c r="E568" s="71"/>
      <c r="F568" s="70"/>
      <c r="G568" s="71"/>
      <c r="H568" s="102">
        <f>Data!$I$41</f>
        <v>8000</v>
      </c>
      <c r="I568" s="102">
        <f>Data!$I$52</f>
        <v>53000</v>
      </c>
      <c r="J568" s="72">
        <f>J567+SUM(C568:E568)-SUM(F568:I568)</f>
        <v>998930.90000000037</v>
      </c>
      <c r="L568" s="55"/>
    </row>
    <row r="569" spans="1:12" x14ac:dyDescent="0.3">
      <c r="A569" t="str">
        <f>VLOOKUP(WEEKDAY(B569),Data!$A$2:$B$8,2)</f>
        <v>Friday</v>
      </c>
      <c r="B569" s="4">
        <f t="shared" si="26"/>
        <v>43658</v>
      </c>
      <c r="C569" s="70"/>
      <c r="D569" s="75"/>
      <c r="E569" s="102">
        <f>Data!$D$44</f>
        <v>6000</v>
      </c>
      <c r="F569" s="70"/>
      <c r="G569" s="71"/>
      <c r="J569" s="72">
        <f t="shared" si="25"/>
        <v>1004930.9000000004</v>
      </c>
      <c r="L569" s="55"/>
    </row>
    <row r="570" spans="1:12" x14ac:dyDescent="0.3">
      <c r="A570" s="19" t="str">
        <f>VLOOKUP(WEEKDAY(B570),Data!$A$2:$B$8,2)</f>
        <v>Saturday</v>
      </c>
      <c r="B570" s="60">
        <f t="shared" si="26"/>
        <v>43659</v>
      </c>
      <c r="C570" s="84"/>
      <c r="D570" s="252"/>
      <c r="E570" s="146"/>
      <c r="F570" s="84"/>
      <c r="G570" s="85"/>
      <c r="H570" s="146"/>
      <c r="I570" s="146"/>
      <c r="J570" s="86">
        <f t="shared" si="25"/>
        <v>1004930.9000000004</v>
      </c>
      <c r="K570" s="260"/>
    </row>
    <row r="571" spans="1:12" x14ac:dyDescent="0.3">
      <c r="A571" s="22" t="str">
        <f>VLOOKUP(WEEKDAY(B571),Data!$A$2:$B$8,2)</f>
        <v>Sunday</v>
      </c>
      <c r="B571" s="4">
        <f t="shared" si="26"/>
        <v>43660</v>
      </c>
      <c r="C571" s="70"/>
      <c r="D571" s="75"/>
      <c r="E571" s="102"/>
      <c r="F571" s="70"/>
      <c r="G571" s="71"/>
      <c r="H571" s="71"/>
      <c r="I571" s="71"/>
      <c r="J571" s="72">
        <f>J570+SUM(C571:E571)-SUM(F571:I571)</f>
        <v>1004930.9000000004</v>
      </c>
      <c r="K571" s="260"/>
    </row>
    <row r="572" spans="1:12" x14ac:dyDescent="0.3">
      <c r="A572" s="22" t="str">
        <f>VLOOKUP(WEEKDAY(B572),Data!$A$2:$B$8,2)</f>
        <v>Monday</v>
      </c>
      <c r="B572" s="4">
        <f t="shared" si="26"/>
        <v>43661</v>
      </c>
      <c r="C572" s="70"/>
      <c r="D572" s="75"/>
      <c r="E572" s="71"/>
      <c r="F572" s="108"/>
      <c r="G572" s="71"/>
      <c r="H572" s="71"/>
      <c r="I572" s="71"/>
      <c r="J572" s="72">
        <f>J571+SUM(C572:E572)-SUM(F572:I572)</f>
        <v>1004930.9000000004</v>
      </c>
    </row>
    <row r="573" spans="1:12" x14ac:dyDescent="0.3">
      <c r="A573" s="22" t="str">
        <f>VLOOKUP(WEEKDAY(B573),Data!$A$2:$B$8,2)</f>
        <v>Tuesday</v>
      </c>
      <c r="B573" s="4">
        <f t="shared" si="26"/>
        <v>43662</v>
      </c>
      <c r="C573" s="70"/>
      <c r="D573" s="75"/>
      <c r="E573" s="71"/>
      <c r="F573" s="70"/>
      <c r="G573" s="71"/>
      <c r="H573" s="71"/>
      <c r="I573" s="71"/>
      <c r="J573" s="72">
        <f t="shared" si="25"/>
        <v>1004930.9000000004</v>
      </c>
    </row>
    <row r="574" spans="1:12" x14ac:dyDescent="0.3">
      <c r="A574" t="str">
        <f>VLOOKUP(WEEKDAY(B574),Data!$A$2:$B$8,2)</f>
        <v>Wednesday</v>
      </c>
      <c r="B574" s="4">
        <f t="shared" si="26"/>
        <v>43663</v>
      </c>
      <c r="C574" s="70"/>
      <c r="D574" s="75"/>
      <c r="F574" s="70"/>
      <c r="G574" s="71"/>
      <c r="J574" s="72">
        <f t="shared" si="25"/>
        <v>1004930.9000000004</v>
      </c>
    </row>
    <row r="575" spans="1:12" x14ac:dyDescent="0.3">
      <c r="A575" t="str">
        <f>VLOOKUP(WEEKDAY(B575),Data!$A$2:$B$8,2)</f>
        <v>Thursday</v>
      </c>
      <c r="B575" s="4">
        <f t="shared" si="26"/>
        <v>43664</v>
      </c>
      <c r="C575" s="70"/>
      <c r="D575" s="75"/>
      <c r="E575" s="71"/>
      <c r="F575" s="70"/>
      <c r="G575" s="71"/>
      <c r="H575" s="102">
        <f>Data!$I$41</f>
        <v>8000</v>
      </c>
      <c r="I575" s="102">
        <f>Data!$I$52</f>
        <v>53000</v>
      </c>
      <c r="J575" s="72">
        <f>J574+SUM(C575:E575)-SUM(F575:I575)</f>
        <v>943930.90000000037</v>
      </c>
    </row>
    <row r="576" spans="1:12" x14ac:dyDescent="0.3">
      <c r="A576" t="str">
        <f>VLOOKUP(WEEKDAY(B576),Data!$A$2:$B$8,2)</f>
        <v>Friday</v>
      </c>
      <c r="B576" s="4">
        <f t="shared" si="26"/>
        <v>43665</v>
      </c>
      <c r="C576" s="70"/>
      <c r="D576" s="75"/>
      <c r="E576" s="102">
        <f>Data!$D$44</f>
        <v>6000</v>
      </c>
      <c r="F576" s="108">
        <f>Data!$I$25</f>
        <v>687000</v>
      </c>
      <c r="G576" s="71"/>
      <c r="J576" s="72">
        <f t="shared" ref="J575:J605" si="30">J575+SUM(C576:E576)-SUM(F576:I576)</f>
        <v>262930.90000000037</v>
      </c>
      <c r="L576" s="55"/>
    </row>
    <row r="577" spans="1:12" x14ac:dyDescent="0.3">
      <c r="A577" s="19" t="str">
        <f>VLOOKUP(WEEKDAY(B577),Data!$A$2:$B$8,2)</f>
        <v>Saturday</v>
      </c>
      <c r="B577" s="60">
        <f t="shared" si="26"/>
        <v>43666</v>
      </c>
      <c r="C577" s="84"/>
      <c r="D577" s="252"/>
      <c r="E577" s="146"/>
      <c r="F577" s="232"/>
      <c r="G577" s="85"/>
      <c r="H577" s="146"/>
      <c r="I577" s="146"/>
      <c r="J577" s="86">
        <f t="shared" si="30"/>
        <v>262930.90000000037</v>
      </c>
    </row>
    <row r="578" spans="1:12" x14ac:dyDescent="0.3">
      <c r="A578" s="22" t="str">
        <f>VLOOKUP(WEEKDAY(B578),Data!$A$2:$B$8,2)</f>
        <v>Sunday</v>
      </c>
      <c r="B578" s="4">
        <f t="shared" ref="B578:B619" si="31">B577+1</f>
        <v>43667</v>
      </c>
      <c r="C578" s="70"/>
      <c r="D578" s="75"/>
      <c r="E578" s="102"/>
      <c r="F578" s="108"/>
      <c r="G578" s="71"/>
      <c r="H578" s="71"/>
      <c r="I578" s="71"/>
      <c r="J578" s="72">
        <f>J577+SUM(C578:E578)-SUM(F578:I578)</f>
        <v>262930.90000000037</v>
      </c>
      <c r="K578" s="260"/>
    </row>
    <row r="579" spans="1:12" x14ac:dyDescent="0.3">
      <c r="A579" s="22" t="str">
        <f>VLOOKUP(WEEKDAY(B579),Data!$A$2:$B$8,2)</f>
        <v>Monday</v>
      </c>
      <c r="B579" s="4">
        <f t="shared" si="31"/>
        <v>43668</v>
      </c>
      <c r="C579" s="70">
        <f>Data!$D$12</f>
        <v>1614000</v>
      </c>
      <c r="D579" s="75"/>
      <c r="E579" s="107"/>
      <c r="F579" s="70"/>
      <c r="G579" s="71"/>
      <c r="H579" s="71"/>
      <c r="I579" s="71"/>
      <c r="J579" s="72">
        <f>J578+SUM(C579:E579)-SUM(F579:I579)</f>
        <v>1876930.9000000004</v>
      </c>
      <c r="L579" s="55"/>
    </row>
    <row r="580" spans="1:12" x14ac:dyDescent="0.3">
      <c r="A580" s="22" t="str">
        <f>VLOOKUP(WEEKDAY(B580),Data!$A$2:$B$8,2)</f>
        <v>Tuesday</v>
      </c>
      <c r="B580" s="4">
        <f t="shared" si="31"/>
        <v>43669</v>
      </c>
      <c r="C580" s="70"/>
      <c r="D580" s="75"/>
      <c r="E580" s="71"/>
      <c r="F580" s="70"/>
      <c r="G580" s="71"/>
      <c r="H580" s="71"/>
      <c r="I580" s="71"/>
      <c r="J580" s="72">
        <f t="shared" si="30"/>
        <v>1876930.9000000004</v>
      </c>
    </row>
    <row r="581" spans="1:12" x14ac:dyDescent="0.3">
      <c r="A581" t="str">
        <f>VLOOKUP(WEEKDAY(B581),Data!$A$2:$B$8,2)</f>
        <v>Wednesday</v>
      </c>
      <c r="B581" s="4">
        <f t="shared" si="31"/>
        <v>43670</v>
      </c>
      <c r="C581" s="70"/>
      <c r="D581" s="75"/>
      <c r="F581" s="70"/>
      <c r="G581" s="71"/>
      <c r="J581" s="72">
        <f t="shared" si="30"/>
        <v>1876930.9000000004</v>
      </c>
      <c r="K581" s="260"/>
    </row>
    <row r="582" spans="1:12" x14ac:dyDescent="0.3">
      <c r="A582" t="str">
        <f>VLOOKUP(WEEKDAY(B582),Data!$A$2:$B$8,2)</f>
        <v>Thursday</v>
      </c>
      <c r="B582" s="4">
        <f t="shared" si="31"/>
        <v>43671</v>
      </c>
      <c r="C582" s="70"/>
      <c r="D582" s="75"/>
      <c r="E582" s="71"/>
      <c r="F582" s="70"/>
      <c r="G582" s="285">
        <f>Data!$I$37</f>
        <v>210000</v>
      </c>
      <c r="H582" s="102">
        <f>Data!$I$41</f>
        <v>8000</v>
      </c>
      <c r="I582" s="102">
        <f>Data!$I$52</f>
        <v>53000</v>
      </c>
      <c r="J582" s="72">
        <f>J581+SUM(C582:E582)-SUM(F582:I582)</f>
        <v>1605930.9000000004</v>
      </c>
    </row>
    <row r="583" spans="1:12" x14ac:dyDescent="0.3">
      <c r="A583" t="str">
        <f>VLOOKUP(WEEKDAY(B583),Data!$A$2:$B$8,2)</f>
        <v>Friday</v>
      </c>
      <c r="B583" s="4">
        <f t="shared" si="31"/>
        <v>43672</v>
      </c>
      <c r="C583" s="70"/>
      <c r="D583" s="75"/>
      <c r="E583" s="102">
        <f>Data!$D$44</f>
        <v>6000</v>
      </c>
      <c r="F583" s="70"/>
      <c r="J583" s="72">
        <f t="shared" si="30"/>
        <v>1611930.9000000004</v>
      </c>
      <c r="L583" s="55"/>
    </row>
    <row r="584" spans="1:12" x14ac:dyDescent="0.3">
      <c r="A584" s="19" t="str">
        <f>VLOOKUP(WEEKDAY(B584),Data!$A$2:$B$8,2)</f>
        <v>Saturday</v>
      </c>
      <c r="B584" s="60">
        <f t="shared" si="31"/>
        <v>43673</v>
      </c>
      <c r="C584" s="84"/>
      <c r="D584" s="252"/>
      <c r="E584" s="146"/>
      <c r="F584" s="84"/>
      <c r="G584" s="146"/>
      <c r="H584" s="146"/>
      <c r="I584" s="146"/>
      <c r="J584" s="86">
        <f t="shared" si="30"/>
        <v>1611930.9000000004</v>
      </c>
    </row>
    <row r="585" spans="1:12" x14ac:dyDescent="0.3">
      <c r="A585" s="22" t="str">
        <f>VLOOKUP(WEEKDAY(B585),Data!$A$2:$B$8,2)</f>
        <v>Sunday</v>
      </c>
      <c r="B585" s="4">
        <f t="shared" si="31"/>
        <v>43674</v>
      </c>
      <c r="C585" s="70"/>
      <c r="D585" s="75"/>
      <c r="E585" s="102"/>
      <c r="F585" s="70"/>
      <c r="G585" s="107"/>
      <c r="H585" s="71"/>
      <c r="I585" s="71"/>
      <c r="J585" s="72">
        <f>J584+SUM(C585:E585)-SUM(F585:I585)</f>
        <v>1611930.9000000004</v>
      </c>
      <c r="K585" s="260"/>
    </row>
    <row r="586" spans="1:12" x14ac:dyDescent="0.3">
      <c r="A586" s="22" t="str">
        <f>VLOOKUP(WEEKDAY(B586),Data!$A$2:$B$8,2)</f>
        <v>Monday</v>
      </c>
      <c r="B586" s="4">
        <f t="shared" si="31"/>
        <v>43675</v>
      </c>
      <c r="C586" s="70"/>
      <c r="D586" s="75"/>
      <c r="E586" s="71"/>
      <c r="F586" s="108"/>
      <c r="G586" s="107"/>
      <c r="H586" s="71"/>
      <c r="I586" s="71"/>
      <c r="J586" s="72">
        <f>J585+SUM(C586:E586)-SUM(F586:I586)</f>
        <v>1611930.9000000004</v>
      </c>
    </row>
    <row r="587" spans="1:12" x14ac:dyDescent="0.3">
      <c r="A587" s="22" t="str">
        <f>VLOOKUP(WEEKDAY(B587),Data!$A$2:$B$8,2)</f>
        <v>Tuesday</v>
      </c>
      <c r="B587" s="4">
        <f t="shared" si="31"/>
        <v>43676</v>
      </c>
      <c r="C587" s="70"/>
      <c r="D587" s="75"/>
      <c r="E587" s="71"/>
      <c r="F587" s="70"/>
      <c r="G587" s="71"/>
      <c r="H587" s="71"/>
      <c r="I587" s="71"/>
      <c r="J587" s="72">
        <f t="shared" si="30"/>
        <v>1611930.9000000004</v>
      </c>
    </row>
    <row r="588" spans="1:12" x14ac:dyDescent="0.3">
      <c r="A588" s="22" t="str">
        <f>VLOOKUP(WEEKDAY(B588),Data!$A$2:$B$8,2)</f>
        <v>Wednesday</v>
      </c>
      <c r="B588" s="4">
        <f t="shared" si="31"/>
        <v>43677</v>
      </c>
      <c r="C588" s="70"/>
      <c r="D588" s="71">
        <f>Data!$D$20</f>
        <v>0</v>
      </c>
      <c r="E588" s="71"/>
      <c r="F588" s="70"/>
      <c r="G588" s="71"/>
      <c r="H588" s="71"/>
      <c r="I588" s="71"/>
      <c r="J588" s="72">
        <f t="shared" si="30"/>
        <v>1611930.9000000004</v>
      </c>
    </row>
    <row r="589" spans="1:12" x14ac:dyDescent="0.3">
      <c r="A589" s="22" t="str">
        <f>VLOOKUP(WEEKDAY(B589),Data!$A$2:$B$8,2)</f>
        <v>Thursday</v>
      </c>
      <c r="B589" s="4">
        <f t="shared" si="31"/>
        <v>43678</v>
      </c>
      <c r="C589" s="70"/>
      <c r="D589" s="75"/>
      <c r="E589" s="109"/>
      <c r="F589" s="70"/>
      <c r="G589" s="71"/>
      <c r="H589" s="102">
        <f>Data!$I$41</f>
        <v>8000</v>
      </c>
      <c r="I589" s="102">
        <f>Data!$I$52</f>
        <v>53000</v>
      </c>
      <c r="J589" s="72">
        <f>J588+SUM(C589:E589)-SUM(F589:I589)</f>
        <v>1550930.9000000004</v>
      </c>
    </row>
    <row r="590" spans="1:12" x14ac:dyDescent="0.3">
      <c r="A590" t="str">
        <f>VLOOKUP(WEEKDAY(B590),Data!$A$2:$B$8,2)</f>
        <v>Friday</v>
      </c>
      <c r="B590" s="4">
        <f t="shared" si="31"/>
        <v>43679</v>
      </c>
      <c r="C590" s="70"/>
      <c r="D590" s="75"/>
      <c r="E590" s="102">
        <f>Data!$D$44</f>
        <v>6000</v>
      </c>
      <c r="F590" s="70"/>
      <c r="G590" s="71"/>
      <c r="J590" s="72">
        <f t="shared" si="30"/>
        <v>1556930.9000000004</v>
      </c>
      <c r="L590" s="55"/>
    </row>
    <row r="591" spans="1:12" x14ac:dyDescent="0.3">
      <c r="A591" s="19" t="str">
        <f>VLOOKUP(WEEKDAY(B591),Data!$A$2:$B$8,2)</f>
        <v>Saturday</v>
      </c>
      <c r="B591" s="60">
        <f t="shared" si="31"/>
        <v>43680</v>
      </c>
      <c r="C591" s="84"/>
      <c r="D591" s="252"/>
      <c r="E591" s="146"/>
      <c r="F591" s="84"/>
      <c r="G591" s="85"/>
      <c r="H591" s="146"/>
      <c r="I591" s="146"/>
      <c r="J591" s="86">
        <f t="shared" si="30"/>
        <v>1556930.9000000004</v>
      </c>
    </row>
    <row r="592" spans="1:12" x14ac:dyDescent="0.3">
      <c r="A592" s="22" t="str">
        <f>VLOOKUP(WEEKDAY(B592),Data!$A$2:$B$8,2)</f>
        <v>Sunday</v>
      </c>
      <c r="B592" s="4">
        <f t="shared" si="31"/>
        <v>43681</v>
      </c>
      <c r="C592" s="70"/>
      <c r="D592" s="75"/>
      <c r="E592" s="102"/>
      <c r="F592" s="108"/>
      <c r="G592" s="71"/>
      <c r="H592" s="71"/>
      <c r="I592" s="71"/>
      <c r="J592" s="72">
        <f>J591+SUM(C592:E592)-SUM(F592:I592)</f>
        <v>1556930.9000000004</v>
      </c>
      <c r="K592" s="260"/>
    </row>
    <row r="593" spans="1:13" x14ac:dyDescent="0.3">
      <c r="A593" s="22" t="str">
        <f>VLOOKUP(WEEKDAY(B593),Data!$A$2:$B$8,2)</f>
        <v>Monday</v>
      </c>
      <c r="B593" s="4">
        <f t="shared" si="31"/>
        <v>43682</v>
      </c>
      <c r="C593" s="70"/>
      <c r="D593" s="75"/>
      <c r="E593" s="71"/>
      <c r="F593" s="108"/>
      <c r="G593" s="71"/>
      <c r="H593" s="71"/>
      <c r="I593" s="71"/>
      <c r="J593" s="72">
        <f>J592+SUM(C593:E593)-SUM(F593:I593)</f>
        <v>1556930.9000000004</v>
      </c>
    </row>
    <row r="594" spans="1:13" x14ac:dyDescent="0.3">
      <c r="A594" s="22" t="str">
        <f>VLOOKUP(WEEKDAY(B594),Data!$A$2:$B$8,2)</f>
        <v>Tuesday</v>
      </c>
      <c r="B594" s="4">
        <f t="shared" si="31"/>
        <v>43683</v>
      </c>
      <c r="C594" s="70"/>
      <c r="D594" s="75"/>
      <c r="E594" s="71"/>
      <c r="F594" s="108">
        <f>Data!$I$25</f>
        <v>687000</v>
      </c>
      <c r="G594" s="71"/>
      <c r="H594" s="71"/>
      <c r="I594" s="71"/>
      <c r="J594" s="72">
        <f t="shared" si="30"/>
        <v>869930.90000000037</v>
      </c>
    </row>
    <row r="595" spans="1:13" x14ac:dyDescent="0.3">
      <c r="A595" t="str">
        <f>VLOOKUP(WEEKDAY(B595),Data!$A$2:$B$8,2)</f>
        <v>Wednesday</v>
      </c>
      <c r="B595" s="4">
        <f t="shared" si="31"/>
        <v>43684</v>
      </c>
      <c r="C595" s="70"/>
      <c r="D595" s="75"/>
      <c r="F595" s="70"/>
      <c r="G595" s="71"/>
      <c r="J595" s="72">
        <f t="shared" si="30"/>
        <v>869930.90000000037</v>
      </c>
    </row>
    <row r="596" spans="1:13" x14ac:dyDescent="0.3">
      <c r="A596" t="str">
        <f>VLOOKUP(WEEKDAY(B596),Data!$A$2:$B$8,2)</f>
        <v>Thursday</v>
      </c>
      <c r="B596" s="4">
        <f t="shared" si="31"/>
        <v>43685</v>
      </c>
      <c r="C596" s="70"/>
      <c r="D596" s="75"/>
      <c r="E596" s="71"/>
      <c r="F596" s="70"/>
      <c r="G596" s="71"/>
      <c r="H596" s="102">
        <f>Data!$I$41</f>
        <v>8000</v>
      </c>
      <c r="I596" s="102">
        <f>Data!$I$52</f>
        <v>53000</v>
      </c>
      <c r="J596" s="72">
        <f>J595+SUM(C596:E596)-SUM(F596:I596)</f>
        <v>808930.90000000037</v>
      </c>
    </row>
    <row r="597" spans="1:13" x14ac:dyDescent="0.3">
      <c r="A597" t="str">
        <f>VLOOKUP(WEEKDAY(B597),Data!$A$2:$B$8,2)</f>
        <v>Friday</v>
      </c>
      <c r="B597" s="4">
        <f t="shared" si="31"/>
        <v>43686</v>
      </c>
      <c r="C597" s="70"/>
      <c r="D597" s="75"/>
      <c r="E597" s="102">
        <f>Data!$D$44</f>
        <v>6000</v>
      </c>
      <c r="F597" s="70"/>
      <c r="G597" s="71"/>
      <c r="J597" s="72">
        <f t="shared" si="30"/>
        <v>814930.90000000037</v>
      </c>
      <c r="L597" s="55"/>
    </row>
    <row r="598" spans="1:13" x14ac:dyDescent="0.3">
      <c r="A598" s="19" t="str">
        <f>VLOOKUP(WEEKDAY(B598),Data!$A$2:$B$8,2)</f>
        <v>Saturday</v>
      </c>
      <c r="B598" s="60">
        <f t="shared" si="31"/>
        <v>43687</v>
      </c>
      <c r="C598" s="253"/>
      <c r="D598" s="252"/>
      <c r="E598" s="146"/>
      <c r="F598" s="84"/>
      <c r="G598" s="85"/>
      <c r="H598" s="146"/>
      <c r="I598" s="146"/>
      <c r="J598" s="86">
        <f t="shared" si="30"/>
        <v>814930.90000000037</v>
      </c>
    </row>
    <row r="599" spans="1:13" x14ac:dyDescent="0.3">
      <c r="A599" s="22" t="str">
        <f>VLOOKUP(WEEKDAY(B599),Data!$A$2:$B$8,2)</f>
        <v>Sunday</v>
      </c>
      <c r="B599" s="4">
        <f t="shared" si="31"/>
        <v>43688</v>
      </c>
      <c r="C599" s="82"/>
      <c r="D599" s="75"/>
      <c r="E599" s="102"/>
      <c r="F599" s="70"/>
      <c r="G599" s="71"/>
      <c r="H599" s="71"/>
      <c r="I599" s="71"/>
      <c r="J599" s="72">
        <f>J598+SUM(C599:E599)-SUM(F599:I599)</f>
        <v>814930.90000000037</v>
      </c>
      <c r="K599" s="260"/>
    </row>
    <row r="600" spans="1:13" x14ac:dyDescent="0.3">
      <c r="A600" s="22" t="str">
        <f>VLOOKUP(WEEKDAY(B600),Data!$A$2:$B$8,2)</f>
        <v>Monday</v>
      </c>
      <c r="B600" s="4">
        <f t="shared" si="31"/>
        <v>43689</v>
      </c>
      <c r="C600" s="82">
        <f>Data!$D$16</f>
        <v>73000</v>
      </c>
      <c r="D600" s="75"/>
      <c r="E600" s="71"/>
      <c r="F600" s="108"/>
      <c r="G600" s="71"/>
      <c r="H600" s="71"/>
      <c r="I600" s="71"/>
      <c r="J600" s="72">
        <f>J599+SUM(C600:E600)-SUM(F600:I600)</f>
        <v>887930.90000000037</v>
      </c>
      <c r="L600" s="55"/>
    </row>
    <row r="601" spans="1:13" x14ac:dyDescent="0.3">
      <c r="A601" s="22" t="str">
        <f>VLOOKUP(WEEKDAY(B601),Data!$A$2:$B$8,2)</f>
        <v>Tuesday</v>
      </c>
      <c r="B601" s="4">
        <f t="shared" si="31"/>
        <v>43690</v>
      </c>
      <c r="C601" s="70"/>
      <c r="D601" s="75"/>
      <c r="E601" s="71"/>
      <c r="F601" s="70"/>
      <c r="G601" s="71"/>
      <c r="H601" s="71"/>
      <c r="I601" s="71"/>
      <c r="J601" s="72">
        <f t="shared" si="30"/>
        <v>887930.90000000037</v>
      </c>
    </row>
    <row r="602" spans="1:13" x14ac:dyDescent="0.3">
      <c r="A602" t="str">
        <f>VLOOKUP(WEEKDAY(B602),Data!$A$2:$B$8,2)</f>
        <v>Wednesday</v>
      </c>
      <c r="B602" s="4">
        <f t="shared" si="31"/>
        <v>43691</v>
      </c>
      <c r="C602" s="70"/>
      <c r="D602" s="75"/>
      <c r="F602" s="70"/>
      <c r="G602" s="71"/>
      <c r="J602" s="72">
        <f t="shared" si="30"/>
        <v>887930.90000000037</v>
      </c>
      <c r="K602" s="260"/>
    </row>
    <row r="603" spans="1:13" x14ac:dyDescent="0.3">
      <c r="A603" t="str">
        <f>VLOOKUP(WEEKDAY(B603),Data!$A$2:$B$8,2)</f>
        <v>Thursday</v>
      </c>
      <c r="B603" s="4">
        <f t="shared" si="31"/>
        <v>43692</v>
      </c>
      <c r="C603" s="70"/>
      <c r="D603" s="75"/>
      <c r="E603" s="71"/>
      <c r="F603" s="70"/>
      <c r="G603" s="71"/>
      <c r="H603" s="102">
        <f>Data!$I$41</f>
        <v>8000</v>
      </c>
      <c r="I603" s="102">
        <f>Data!$I$52</f>
        <v>53000</v>
      </c>
      <c r="J603" s="72">
        <f>J602+SUM(C603:E603)-SUM(F603:I603)</f>
        <v>826930.90000000037</v>
      </c>
    </row>
    <row r="604" spans="1:13" x14ac:dyDescent="0.3">
      <c r="A604" t="str">
        <f>VLOOKUP(WEEKDAY(B604),Data!$A$2:$B$8,2)</f>
        <v>Friday</v>
      </c>
      <c r="B604" s="4">
        <f t="shared" si="31"/>
        <v>43693</v>
      </c>
      <c r="C604" s="70"/>
      <c r="D604" s="75"/>
      <c r="E604" s="102">
        <f>Data!$D$44</f>
        <v>6000</v>
      </c>
      <c r="F604" s="70"/>
      <c r="G604" s="71"/>
      <c r="J604" s="72">
        <f t="shared" si="30"/>
        <v>832930.90000000037</v>
      </c>
      <c r="L604" s="55"/>
    </row>
    <row r="605" spans="1:13" x14ac:dyDescent="0.3">
      <c r="A605" s="19" t="str">
        <f>VLOOKUP(WEEKDAY(B605),Data!$A$2:$B$8,2)</f>
        <v>Saturday</v>
      </c>
      <c r="B605" s="60">
        <f t="shared" si="31"/>
        <v>43694</v>
      </c>
      <c r="C605" s="84"/>
      <c r="D605" s="252"/>
      <c r="E605" s="146"/>
      <c r="F605" s="84"/>
      <c r="G605" s="85"/>
      <c r="H605" s="146"/>
      <c r="I605" s="146"/>
      <c r="J605" s="86">
        <f t="shared" si="30"/>
        <v>832930.90000000037</v>
      </c>
    </row>
    <row r="606" spans="1:13" x14ac:dyDescent="0.3">
      <c r="A606" s="22" t="str">
        <f>VLOOKUP(WEEKDAY(B606),Data!$A$2:$B$8,2)</f>
        <v>Sunday</v>
      </c>
      <c r="B606" s="4">
        <f t="shared" si="31"/>
        <v>43695</v>
      </c>
      <c r="C606" s="70"/>
      <c r="D606" s="75"/>
      <c r="E606" s="102"/>
      <c r="F606" s="70"/>
      <c r="G606" s="71"/>
      <c r="H606" s="22"/>
      <c r="I606" s="22"/>
      <c r="J606" s="72">
        <f>J605+SUM(C606:E606)-SUM(F606:I606)</f>
        <v>832930.90000000037</v>
      </c>
      <c r="K606" s="260"/>
    </row>
    <row r="607" spans="1:13" x14ac:dyDescent="0.3">
      <c r="A607" s="22" t="str">
        <f>VLOOKUP(WEEKDAY(B607),Data!$A$2:$B$8,2)</f>
        <v>Monday</v>
      </c>
      <c r="B607" s="4">
        <f t="shared" si="31"/>
        <v>43696</v>
      </c>
      <c r="C607" s="70"/>
      <c r="D607" s="75"/>
      <c r="E607" s="71"/>
      <c r="F607" s="108"/>
      <c r="G607" s="71"/>
      <c r="H607" s="71"/>
      <c r="I607" s="71"/>
      <c r="J607" s="72">
        <f>J606+SUM(C607:E607)-SUM(F607:I607)</f>
        <v>832930.90000000037</v>
      </c>
    </row>
    <row r="608" spans="1:13" x14ac:dyDescent="0.3">
      <c r="A608" s="22" t="str">
        <f>VLOOKUP(WEEKDAY(B608),Data!$A$2:$B$8,2)</f>
        <v>Tuesday</v>
      </c>
      <c r="B608" s="4">
        <f t="shared" si="31"/>
        <v>43697</v>
      </c>
      <c r="C608" s="70">
        <f>Data!$D$12</f>
        <v>1614000</v>
      </c>
      <c r="D608" s="75"/>
      <c r="E608" s="71"/>
      <c r="F608" s="70"/>
      <c r="G608" s="71"/>
      <c r="H608" s="279">
        <v>0</v>
      </c>
      <c r="I608" s="280">
        <v>0</v>
      </c>
      <c r="J608" s="72">
        <f t="shared" ref="J608:J619" si="32">J607+SUM(C608:E608)-SUM(F608:I608)</f>
        <v>2446930.9000000004</v>
      </c>
      <c r="K608" s="281" t="s">
        <v>85</v>
      </c>
      <c r="L608" s="49"/>
      <c r="M608" s="49"/>
    </row>
    <row r="609" spans="1:12" x14ac:dyDescent="0.3">
      <c r="A609" t="str">
        <f>VLOOKUP(WEEKDAY(B609),Data!$A$2:$B$8,2)</f>
        <v>Wednesday</v>
      </c>
      <c r="B609" s="4">
        <f t="shared" si="31"/>
        <v>43698</v>
      </c>
      <c r="C609" s="70"/>
      <c r="D609" s="75"/>
      <c r="F609" s="108">
        <f>Data!$I$25</f>
        <v>687000</v>
      </c>
      <c r="G609" s="71"/>
      <c r="J609" s="72">
        <f t="shared" si="32"/>
        <v>1759930.9000000004</v>
      </c>
      <c r="L609" s="55"/>
    </row>
    <row r="610" spans="1:12" x14ac:dyDescent="0.3">
      <c r="A610" t="str">
        <f>VLOOKUP(WEEKDAY(B610),Data!$A$2:$B$8,2)</f>
        <v>Thursday</v>
      </c>
      <c r="B610" s="4">
        <f t="shared" si="31"/>
        <v>43699</v>
      </c>
      <c r="C610" s="70"/>
      <c r="D610" s="75"/>
      <c r="E610" s="71"/>
      <c r="F610" s="70"/>
      <c r="G610" s="71"/>
      <c r="H610" s="102">
        <f>Data!$I$41</f>
        <v>8000</v>
      </c>
      <c r="I610" s="102">
        <f>Data!$I$52</f>
        <v>53000</v>
      </c>
      <c r="J610" s="72">
        <f>J609+SUM(C610:E610)-SUM(F610:I610)</f>
        <v>1698930.9000000004</v>
      </c>
      <c r="K610" s="260"/>
    </row>
    <row r="611" spans="1:12" x14ac:dyDescent="0.3">
      <c r="A611" t="str">
        <f>VLOOKUP(WEEKDAY(B611),Data!$A$2:$B$8,2)</f>
        <v>Friday</v>
      </c>
      <c r="B611" s="4">
        <f t="shared" si="31"/>
        <v>43700</v>
      </c>
      <c r="C611" s="70"/>
      <c r="D611" s="75"/>
      <c r="E611" s="102">
        <f>Data!$D$44</f>
        <v>6000</v>
      </c>
      <c r="F611" s="70"/>
      <c r="G611" s="71"/>
      <c r="J611" s="72">
        <f t="shared" si="32"/>
        <v>1704930.9000000004</v>
      </c>
      <c r="L611" s="55"/>
    </row>
    <row r="612" spans="1:12" x14ac:dyDescent="0.3">
      <c r="A612" s="19" t="str">
        <f>VLOOKUP(WEEKDAY(B612),Data!$A$2:$B$8,2)</f>
        <v>Saturday</v>
      </c>
      <c r="B612" s="60">
        <f t="shared" si="31"/>
        <v>43701</v>
      </c>
      <c r="C612" s="84"/>
      <c r="D612" s="252"/>
      <c r="E612" s="146"/>
      <c r="F612" s="84"/>
      <c r="G612" s="85"/>
      <c r="H612" s="146"/>
      <c r="I612" s="146"/>
      <c r="J612" s="86">
        <f t="shared" si="32"/>
        <v>1704930.9000000004</v>
      </c>
    </row>
    <row r="613" spans="1:12" x14ac:dyDescent="0.3">
      <c r="A613" s="22" t="str">
        <f>VLOOKUP(WEEKDAY(B613),Data!$A$2:$B$8,2)</f>
        <v>Sunday</v>
      </c>
      <c r="B613" s="4">
        <f t="shared" si="31"/>
        <v>43702</v>
      </c>
      <c r="C613" s="70"/>
      <c r="D613" s="75"/>
      <c r="E613" s="102"/>
      <c r="F613" s="70"/>
      <c r="G613" s="107"/>
      <c r="H613" s="71"/>
      <c r="I613" s="71"/>
      <c r="J613" s="72">
        <f>J612+SUM(C613:E613)-SUM(F613:I613)</f>
        <v>1704930.9000000004</v>
      </c>
    </row>
    <row r="614" spans="1:12" x14ac:dyDescent="0.3">
      <c r="A614" s="22" t="str">
        <f>VLOOKUP(WEEKDAY(B614),Data!$A$2:$B$8,2)</f>
        <v>Monday</v>
      </c>
      <c r="B614" s="4">
        <f t="shared" si="31"/>
        <v>43703</v>
      </c>
      <c r="C614" s="70"/>
      <c r="D614" s="75"/>
      <c r="E614" s="75"/>
      <c r="F614" s="137"/>
      <c r="G614" s="243"/>
      <c r="H614" s="75"/>
      <c r="I614" s="75"/>
      <c r="J614" s="72">
        <f>J613+SUM(C614:E614)-SUM(F614:I614)</f>
        <v>1704930.9000000004</v>
      </c>
    </row>
    <row r="615" spans="1:12" x14ac:dyDescent="0.3">
      <c r="A615" s="22" t="str">
        <f>VLOOKUP(WEEKDAY(B615),Data!$A$2:$B$8,2)</f>
        <v>Tuesday</v>
      </c>
      <c r="B615" s="4">
        <f t="shared" si="31"/>
        <v>43704</v>
      </c>
      <c r="C615" s="70"/>
      <c r="D615" s="75"/>
      <c r="E615" s="71"/>
      <c r="F615" s="70"/>
      <c r="G615" s="71"/>
      <c r="H615" s="71"/>
      <c r="I615" s="71"/>
      <c r="J615" s="72">
        <f t="shared" si="32"/>
        <v>1704930.9000000004</v>
      </c>
    </row>
    <row r="616" spans="1:12" x14ac:dyDescent="0.3">
      <c r="A616" t="str">
        <f>VLOOKUP(WEEKDAY(B616),Data!$A$2:$B$8,2)</f>
        <v>Wednesday</v>
      </c>
      <c r="B616" s="4">
        <f t="shared" si="31"/>
        <v>43705</v>
      </c>
      <c r="C616" s="70"/>
      <c r="D616" s="75"/>
      <c r="F616" s="70"/>
      <c r="G616" s="71"/>
      <c r="H616" s="71"/>
      <c r="I616" s="75"/>
      <c r="J616" s="72">
        <f t="shared" si="32"/>
        <v>1704930.9000000004</v>
      </c>
      <c r="K616" s="260"/>
    </row>
    <row r="617" spans="1:12" x14ac:dyDescent="0.3">
      <c r="A617" t="str">
        <f>VLOOKUP(WEEKDAY(B617),Data!$A$2:$B$8,2)</f>
        <v>Thursday</v>
      </c>
      <c r="B617" s="4">
        <f t="shared" si="31"/>
        <v>43706</v>
      </c>
      <c r="C617" s="70"/>
      <c r="D617" s="71">
        <f>Data!$D$21</f>
        <v>0</v>
      </c>
      <c r="E617" s="71"/>
      <c r="F617" s="70"/>
      <c r="G617" s="285">
        <f>Data!$I$37</f>
        <v>210000</v>
      </c>
      <c r="H617" s="102">
        <f>Data!$I$41</f>
        <v>8000</v>
      </c>
      <c r="I617" s="102">
        <f>Data!$I$52</f>
        <v>53000</v>
      </c>
      <c r="J617" s="72">
        <f t="shared" si="32"/>
        <v>1433930.9000000004</v>
      </c>
      <c r="K617" s="260"/>
      <c r="L617" s="55"/>
    </row>
    <row r="618" spans="1:12" x14ac:dyDescent="0.3">
      <c r="A618" t="str">
        <f>VLOOKUP(WEEKDAY(B618),Data!$A$2:$B$8,2)</f>
        <v>Friday</v>
      </c>
      <c r="B618" s="4">
        <f t="shared" si="31"/>
        <v>43707</v>
      </c>
      <c r="C618" s="70"/>
      <c r="D618" s="83">
        <f>Data!$D$37+Data!$D$40</f>
        <v>407000</v>
      </c>
      <c r="E618" s="102">
        <f>Data!$D$44</f>
        <v>6000</v>
      </c>
      <c r="F618" s="70"/>
      <c r="I618" s="83">
        <f>Data!$I$57</f>
        <v>475000</v>
      </c>
      <c r="J618" s="72">
        <f t="shared" si="32"/>
        <v>1371930.9000000004</v>
      </c>
      <c r="K618" s="278" t="s">
        <v>269</v>
      </c>
      <c r="L618" s="55"/>
    </row>
    <row r="619" spans="1:12" x14ac:dyDescent="0.3">
      <c r="A619" s="19" t="str">
        <f>VLOOKUP(WEEKDAY(B619),Data!$A$2:$B$8,2)</f>
        <v>Saturday</v>
      </c>
      <c r="B619" s="60">
        <f t="shared" si="31"/>
        <v>43708</v>
      </c>
      <c r="C619" s="84"/>
      <c r="D619" s="85"/>
      <c r="E619" s="146"/>
      <c r="F619" s="84"/>
      <c r="G619" s="85"/>
      <c r="H619" s="146"/>
      <c r="I619" s="147"/>
      <c r="J619" s="86">
        <f t="shared" si="32"/>
        <v>1371930.9000000004</v>
      </c>
    </row>
  </sheetData>
  <mergeCells count="10">
    <mergeCell ref="K240:M242"/>
    <mergeCell ref="A557:I557"/>
    <mergeCell ref="A5:I5"/>
    <mergeCell ref="J187:J188"/>
    <mergeCell ref="C188:E188"/>
    <mergeCell ref="F188:I188"/>
    <mergeCell ref="A189:I189"/>
    <mergeCell ref="J555:J556"/>
    <mergeCell ref="C556:E556"/>
    <mergeCell ref="F556:I556"/>
  </mergeCells>
  <pageMargins left="0.7" right="0.7" top="0.75" bottom="0.75" header="0.3" footer="0.3"/>
  <pageSetup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3"/>
  <sheetViews>
    <sheetView topLeftCell="A19" workbookViewId="0">
      <selection activeCell="D19" sqref="D19"/>
    </sheetView>
  </sheetViews>
  <sheetFormatPr defaultRowHeight="15.6" x14ac:dyDescent="0.3"/>
  <cols>
    <col min="1" max="1" width="40.59765625" bestFit="1" customWidth="1"/>
    <col min="2" max="5" width="15.59765625" customWidth="1"/>
    <col min="6" max="6" width="14.3984375" bestFit="1" customWidth="1"/>
    <col min="7" max="7" width="13.69921875" bestFit="1" customWidth="1"/>
    <col min="9" max="9" width="12.59765625" bestFit="1" customWidth="1"/>
  </cols>
  <sheetData>
    <row r="1" spans="1:6" s="222" customFormat="1" x14ac:dyDescent="0.3">
      <c r="A1" s="5" t="s">
        <v>237</v>
      </c>
      <c r="B1" s="223">
        <v>0</v>
      </c>
      <c r="C1" s="222" t="s">
        <v>238</v>
      </c>
    </row>
    <row r="2" spans="1:6" s="222" customFormat="1" x14ac:dyDescent="0.3">
      <c r="B2" s="223">
        <v>0</v>
      </c>
      <c r="C2" s="222" t="s">
        <v>239</v>
      </c>
    </row>
    <row r="3" spans="1:6" s="222" customFormat="1" x14ac:dyDescent="0.3">
      <c r="B3" s="223">
        <v>0</v>
      </c>
      <c r="C3" s="222" t="s">
        <v>243</v>
      </c>
    </row>
    <row r="4" spans="1:6" s="222" customFormat="1" x14ac:dyDescent="0.3">
      <c r="A4" s="42" t="s">
        <v>32</v>
      </c>
      <c r="B4" s="224">
        <f>SUM(B1:B3)</f>
        <v>0</v>
      </c>
    </row>
    <row r="5" spans="1:6" s="222" customFormat="1" x14ac:dyDescent="0.3"/>
    <row r="6" spans="1:6" s="163" customFormat="1" x14ac:dyDescent="0.3">
      <c r="A6" s="15" t="s">
        <v>198</v>
      </c>
      <c r="B6" s="197">
        <v>21742264</v>
      </c>
      <c r="C6" s="218">
        <v>0.05</v>
      </c>
      <c r="D6" s="45">
        <f>B6*C6</f>
        <v>1087113.2</v>
      </c>
      <c r="E6" s="16"/>
      <c r="F6" s="198" t="s">
        <v>15</v>
      </c>
    </row>
    <row r="7" spans="1:6" s="163" customFormat="1" x14ac:dyDescent="0.3">
      <c r="A7" s="20"/>
      <c r="B7" s="22"/>
      <c r="C7" s="22"/>
      <c r="D7" s="22"/>
      <c r="E7" s="22"/>
      <c r="F7" s="10"/>
    </row>
    <row r="8" spans="1:6" s="163" customFormat="1" x14ac:dyDescent="0.3">
      <c r="A8" s="32" t="s">
        <v>108</v>
      </c>
      <c r="B8" s="199" t="s">
        <v>107</v>
      </c>
      <c r="C8" s="199" t="s">
        <v>109</v>
      </c>
      <c r="D8" s="22"/>
      <c r="E8" s="22"/>
      <c r="F8" s="10"/>
    </row>
    <row r="9" spans="1:6" s="163" customFormat="1" x14ac:dyDescent="0.3">
      <c r="A9" s="32" t="s">
        <v>106</v>
      </c>
      <c r="B9" s="199" t="s">
        <v>33</v>
      </c>
      <c r="C9" s="199" t="s">
        <v>80</v>
      </c>
      <c r="D9" s="199" t="s">
        <v>32</v>
      </c>
      <c r="E9" s="199" t="s">
        <v>51</v>
      </c>
      <c r="F9" s="200" t="s">
        <v>52</v>
      </c>
    </row>
    <row r="10" spans="1:6" s="163" customFormat="1" x14ac:dyDescent="0.3">
      <c r="A10" s="20" t="s">
        <v>212</v>
      </c>
      <c r="B10" s="207">
        <f>'Cash Balance'!B3</f>
        <v>4274074.4800000004</v>
      </c>
      <c r="C10" s="207">
        <f>DueToFrom!B2+DueToFrom!B18</f>
        <v>203084.49999999997</v>
      </c>
      <c r="D10" s="202">
        <f t="shared" ref="D10:D22" si="0">SUM(B10:C10)</f>
        <v>4477158.9800000004</v>
      </c>
      <c r="E10" s="208">
        <v>-3250000</v>
      </c>
      <c r="F10" s="203">
        <f>D10+E10</f>
        <v>1227158.9800000004</v>
      </c>
    </row>
    <row r="11" spans="1:6" s="163" customFormat="1" x14ac:dyDescent="0.3">
      <c r="A11" s="20" t="s">
        <v>199</v>
      </c>
      <c r="B11" s="207">
        <f>'Cash Balance'!B4</f>
        <v>4216953.68</v>
      </c>
      <c r="C11" s="207">
        <f>DueToFrom!B3+DueToFrom!B19</f>
        <v>360023.41</v>
      </c>
      <c r="D11" s="202">
        <f t="shared" si="0"/>
        <v>4576977.09</v>
      </c>
      <c r="E11" s="208">
        <v>-3250000</v>
      </c>
      <c r="F11" s="203">
        <f t="shared" ref="F11:F22" si="1">D11+E11</f>
        <v>1326977.0899999999</v>
      </c>
    </row>
    <row r="12" spans="1:6" s="163" customFormat="1" x14ac:dyDescent="0.3">
      <c r="A12" s="204" t="s">
        <v>200</v>
      </c>
      <c r="B12" s="207">
        <f>'Cash Balance'!B5</f>
        <v>3904582.84</v>
      </c>
      <c r="C12" s="207">
        <f>DueToFrom!B4+DueToFrom!B20</f>
        <v>253504.06999999995</v>
      </c>
      <c r="D12" s="202">
        <f t="shared" si="0"/>
        <v>4158086.9099999997</v>
      </c>
      <c r="E12" s="208">
        <v>-2750000</v>
      </c>
      <c r="F12" s="203">
        <f t="shared" si="1"/>
        <v>1408086.9099999997</v>
      </c>
    </row>
    <row r="13" spans="1:6" s="163" customFormat="1" x14ac:dyDescent="0.3">
      <c r="A13" s="20" t="s">
        <v>201</v>
      </c>
      <c r="B13" s="207">
        <f>'Cash Balance'!B6</f>
        <v>2429357</v>
      </c>
      <c r="C13" s="207">
        <f>DueToFrom!B5+DueToFrom!B21</f>
        <v>128370.79999999999</v>
      </c>
      <c r="D13" s="202">
        <f t="shared" si="0"/>
        <v>2557727.7999999998</v>
      </c>
      <c r="E13" s="208">
        <v>-2750000</v>
      </c>
      <c r="F13" s="203">
        <f t="shared" si="1"/>
        <v>-192272.20000000019</v>
      </c>
    </row>
    <row r="14" spans="1:6" s="163" customFormat="1" x14ac:dyDescent="0.3">
      <c r="A14" s="20" t="s">
        <v>202</v>
      </c>
      <c r="B14" s="207">
        <f>'Cash Balance'!B7</f>
        <v>2155573.11</v>
      </c>
      <c r="C14" s="207">
        <f>DueToFrom!B6+DueToFrom!B22</f>
        <v>156654.59999999998</v>
      </c>
      <c r="D14" s="202">
        <f t="shared" si="0"/>
        <v>2312227.71</v>
      </c>
      <c r="E14" s="208">
        <v>-2750000</v>
      </c>
      <c r="F14" s="203">
        <f t="shared" si="1"/>
        <v>-437772.29000000004</v>
      </c>
    </row>
    <row r="15" spans="1:6" s="163" customFormat="1" x14ac:dyDescent="0.3">
      <c r="A15" s="20" t="s">
        <v>203</v>
      </c>
      <c r="B15" s="207">
        <f>'Cash Balance'!B8</f>
        <v>2376521.19</v>
      </c>
      <c r="C15" s="207">
        <f>DueToFrom!B7+DueToFrom!B23</f>
        <v>116788.74</v>
      </c>
      <c r="D15" s="202">
        <f t="shared" si="0"/>
        <v>2493309.9300000002</v>
      </c>
      <c r="E15" s="208">
        <v>-2750000</v>
      </c>
      <c r="F15" s="203">
        <f t="shared" si="1"/>
        <v>-256690.06999999983</v>
      </c>
    </row>
    <row r="16" spans="1:6" s="163" customFormat="1" x14ac:dyDescent="0.3">
      <c r="A16" s="20" t="s">
        <v>204</v>
      </c>
      <c r="B16" s="207">
        <f>'Cash Balance'!B9</f>
        <v>1875991.62</v>
      </c>
      <c r="C16" s="207">
        <f>DueToFrom!B8+DueToFrom!B24</f>
        <v>96314.92</v>
      </c>
      <c r="D16" s="202">
        <f t="shared" si="0"/>
        <v>1972306.54</v>
      </c>
      <c r="E16" s="208">
        <v>-2750000</v>
      </c>
      <c r="F16" s="203">
        <f t="shared" si="1"/>
        <v>-777693.46</v>
      </c>
    </row>
    <row r="17" spans="1:6" s="163" customFormat="1" x14ac:dyDescent="0.3">
      <c r="A17" s="20" t="s">
        <v>205</v>
      </c>
      <c r="B17" s="207">
        <f>'Cash Balance'!B10</f>
        <v>2984461.13</v>
      </c>
      <c r="C17" s="207">
        <f>DueToFrom!B9+DueToFrom!B25</f>
        <v>114222.97</v>
      </c>
      <c r="D17" s="202">
        <f t="shared" si="0"/>
        <v>3098684.1</v>
      </c>
      <c r="E17" s="208">
        <v>-2750000</v>
      </c>
      <c r="F17" s="203">
        <f t="shared" si="1"/>
        <v>348684.10000000009</v>
      </c>
    </row>
    <row r="18" spans="1:6" s="163" customFormat="1" x14ac:dyDescent="0.3">
      <c r="A18" s="20" t="s">
        <v>206</v>
      </c>
      <c r="B18" s="207">
        <f>'Cash Balance'!B11</f>
        <v>4041536.94</v>
      </c>
      <c r="C18" s="207">
        <f>DueToFrom!B10+DueToFrom!B26</f>
        <v>173527.59000000003</v>
      </c>
      <c r="D18" s="202">
        <f t="shared" si="0"/>
        <v>4215064.53</v>
      </c>
      <c r="E18" s="208">
        <v>-2750000</v>
      </c>
      <c r="F18" s="203">
        <f t="shared" si="1"/>
        <v>1465064.5300000003</v>
      </c>
    </row>
    <row r="19" spans="1:6" s="163" customFormat="1" x14ac:dyDescent="0.3">
      <c r="A19" s="20" t="s">
        <v>207</v>
      </c>
      <c r="B19" s="207">
        <f>'Cash Balance'!B12</f>
        <v>4055888.41</v>
      </c>
      <c r="C19" s="207">
        <f>DueToFrom!B11+DueToFrom!B27</f>
        <v>308903.70999999996</v>
      </c>
      <c r="D19" s="202">
        <f t="shared" si="0"/>
        <v>4364792.12</v>
      </c>
      <c r="E19" s="208">
        <v>-2750000</v>
      </c>
      <c r="F19" s="203">
        <f t="shared" si="1"/>
        <v>1614792.12</v>
      </c>
    </row>
    <row r="20" spans="1:6" s="163" customFormat="1" x14ac:dyDescent="0.3">
      <c r="A20" s="20" t="s">
        <v>208</v>
      </c>
      <c r="B20" s="207">
        <f>'Cash Balance'!B13</f>
        <v>4115455.29</v>
      </c>
      <c r="C20" s="207">
        <f>DueToFrom!B12+DueToFrom!B28</f>
        <v>338066.96</v>
      </c>
      <c r="D20" s="202">
        <f t="shared" si="0"/>
        <v>4453522.25</v>
      </c>
      <c r="E20" s="208">
        <v>-2750000</v>
      </c>
      <c r="F20" s="203">
        <f t="shared" si="1"/>
        <v>1703522.25</v>
      </c>
    </row>
    <row r="21" spans="1:6" s="163" customFormat="1" x14ac:dyDescent="0.3">
      <c r="A21" s="20" t="s">
        <v>209</v>
      </c>
      <c r="B21" s="207">
        <f>'Cash Balance'!B14</f>
        <v>4400535.7200000007</v>
      </c>
      <c r="C21" s="207">
        <f>DueToFrom!B13+DueToFrom!B29</f>
        <v>100521.85999999997</v>
      </c>
      <c r="D21" s="202">
        <f t="shared" si="0"/>
        <v>4501057.580000001</v>
      </c>
      <c r="E21" s="208">
        <v>-2750000</v>
      </c>
      <c r="F21" s="203">
        <f t="shared" si="1"/>
        <v>1751057.580000001</v>
      </c>
    </row>
    <row r="22" spans="1:6" s="163" customFormat="1" x14ac:dyDescent="0.3">
      <c r="A22" s="20" t="s">
        <v>210</v>
      </c>
      <c r="B22" s="217">
        <f>'Cash Balance'!B15</f>
        <v>4167409.5300000003</v>
      </c>
      <c r="C22" s="207">
        <f>DueToFrom!B14+DueToFrom!B30</f>
        <v>282989.82999999996</v>
      </c>
      <c r="D22" s="202">
        <f t="shared" si="0"/>
        <v>4450399.3600000003</v>
      </c>
      <c r="E22" s="208">
        <v>-2750000</v>
      </c>
      <c r="F22" s="203">
        <f t="shared" si="1"/>
        <v>1700399.3600000003</v>
      </c>
    </row>
    <row r="23" spans="1:6" s="163" customFormat="1" x14ac:dyDescent="0.3">
      <c r="A23" s="20"/>
      <c r="B23" s="22"/>
      <c r="C23" s="43" t="s">
        <v>34</v>
      </c>
      <c r="D23" s="46">
        <f>AVERAGE(D10:D22)</f>
        <v>3663947.3</v>
      </c>
      <c r="E23" s="47"/>
      <c r="F23" s="44">
        <f>AVERAGE(F10:F22)</f>
        <v>837024.22307692328</v>
      </c>
    </row>
    <row r="24" spans="1:6" s="163" customFormat="1" x14ac:dyDescent="0.3">
      <c r="A24" s="20"/>
      <c r="B24" s="22"/>
      <c r="C24" s="22"/>
      <c r="D24" s="22"/>
      <c r="E24" s="22"/>
      <c r="F24" s="10"/>
    </row>
    <row r="25" spans="1:6" s="163" customFormat="1" x14ac:dyDescent="0.3">
      <c r="A25" s="20"/>
      <c r="B25" s="22"/>
      <c r="C25" s="22"/>
      <c r="D25" s="22"/>
      <c r="E25" s="22"/>
      <c r="F25" s="10"/>
    </row>
    <row r="26" spans="1:6" s="163" customFormat="1" x14ac:dyDescent="0.3">
      <c r="A26" s="20"/>
      <c r="B26" s="22"/>
      <c r="C26" s="22"/>
      <c r="D26" s="22"/>
      <c r="E26" s="22"/>
      <c r="F26" s="10"/>
    </row>
    <row r="27" spans="1:6" s="163" customFormat="1" x14ac:dyDescent="0.3">
      <c r="A27" s="20"/>
      <c r="B27" s="22"/>
      <c r="C27" s="22"/>
      <c r="D27" s="22"/>
      <c r="E27" s="22"/>
      <c r="F27" s="10"/>
    </row>
    <row r="28" spans="1:6" s="163" customFormat="1" x14ac:dyDescent="0.3">
      <c r="A28" s="20"/>
      <c r="B28" s="22"/>
      <c r="C28" s="22"/>
      <c r="D28" s="22"/>
      <c r="E28" s="22"/>
      <c r="F28" s="10"/>
    </row>
    <row r="29" spans="1:6" s="163" customFormat="1" x14ac:dyDescent="0.3">
      <c r="A29" s="20"/>
      <c r="B29" s="22"/>
      <c r="C29" s="22"/>
      <c r="D29" s="22"/>
      <c r="E29" s="22"/>
      <c r="F29" s="10"/>
    </row>
    <row r="30" spans="1:6" s="163" customFormat="1" x14ac:dyDescent="0.3">
      <c r="A30" s="20"/>
      <c r="B30" s="22"/>
      <c r="C30" s="22"/>
      <c r="D30" s="22"/>
      <c r="E30" s="22"/>
      <c r="F30" s="10"/>
    </row>
    <row r="31" spans="1:6" s="163" customFormat="1" x14ac:dyDescent="0.3">
      <c r="A31" s="20"/>
      <c r="B31" s="22"/>
      <c r="C31" s="22"/>
      <c r="D31" s="22"/>
      <c r="E31" s="22"/>
      <c r="F31" s="10"/>
    </row>
    <row r="32" spans="1:6" s="163" customFormat="1" x14ac:dyDescent="0.3">
      <c r="A32" s="20"/>
      <c r="B32" s="22"/>
      <c r="C32" s="22"/>
      <c r="D32" s="22"/>
      <c r="E32" s="22"/>
      <c r="F32" s="10"/>
    </row>
    <row r="33" spans="1:6" s="163" customFormat="1" x14ac:dyDescent="0.3">
      <c r="A33" s="20"/>
      <c r="B33" s="22"/>
      <c r="C33" s="22"/>
      <c r="D33" s="22"/>
      <c r="E33" s="22"/>
      <c r="F33" s="10"/>
    </row>
    <row r="34" spans="1:6" s="163" customFormat="1" x14ac:dyDescent="0.3">
      <c r="A34" s="20"/>
      <c r="B34" s="22"/>
      <c r="C34" s="22"/>
      <c r="D34" s="22"/>
      <c r="E34" s="22"/>
      <c r="F34" s="10"/>
    </row>
    <row r="35" spans="1:6" s="163" customFormat="1" x14ac:dyDescent="0.3">
      <c r="A35" s="20"/>
      <c r="B35" s="22"/>
      <c r="C35" s="22"/>
      <c r="D35" s="22"/>
      <c r="E35" s="22"/>
      <c r="F35" s="10"/>
    </row>
    <row r="36" spans="1:6" s="163" customFormat="1" x14ac:dyDescent="0.3">
      <c r="A36" s="20"/>
      <c r="B36" s="22"/>
      <c r="C36" s="22"/>
      <c r="D36" s="22"/>
      <c r="E36" s="22"/>
      <c r="F36" s="10"/>
    </row>
    <row r="37" spans="1:6" s="163" customFormat="1" x14ac:dyDescent="0.3">
      <c r="A37" s="20"/>
      <c r="B37" s="22"/>
      <c r="C37" s="22"/>
      <c r="D37" s="22"/>
      <c r="E37" s="22"/>
      <c r="F37" s="10"/>
    </row>
    <row r="38" spans="1:6" s="163" customFormat="1" x14ac:dyDescent="0.3">
      <c r="A38" s="20"/>
      <c r="B38" s="22"/>
      <c r="C38" s="22"/>
      <c r="D38" s="22"/>
      <c r="E38" s="22"/>
      <c r="F38" s="10"/>
    </row>
    <row r="39" spans="1:6" s="163" customFormat="1" x14ac:dyDescent="0.3">
      <c r="A39" s="18"/>
      <c r="B39" s="19"/>
      <c r="C39" s="19"/>
      <c r="D39" s="19"/>
      <c r="E39" s="19"/>
      <c r="F39" s="12"/>
    </row>
    <row r="40" spans="1:6" s="163" customFormat="1" x14ac:dyDescent="0.3"/>
    <row r="41" spans="1:6" s="118" customFormat="1" x14ac:dyDescent="0.3">
      <c r="A41" s="15" t="s">
        <v>114</v>
      </c>
      <c r="B41" s="197">
        <v>20951650</v>
      </c>
      <c r="C41" s="218">
        <v>0.05</v>
      </c>
      <c r="D41" s="45">
        <f>B41*C41</f>
        <v>1047582.5</v>
      </c>
      <c r="E41" s="16"/>
      <c r="F41" s="198" t="s">
        <v>15</v>
      </c>
    </row>
    <row r="42" spans="1:6" s="118" customFormat="1" x14ac:dyDescent="0.3">
      <c r="A42" s="20"/>
      <c r="B42" s="22"/>
      <c r="C42" s="22"/>
      <c r="D42" s="22"/>
      <c r="E42" s="22"/>
      <c r="F42" s="10"/>
    </row>
    <row r="43" spans="1:6" s="118" customFormat="1" x14ac:dyDescent="0.3">
      <c r="A43" s="32" t="s">
        <v>108</v>
      </c>
      <c r="B43" s="199" t="s">
        <v>107</v>
      </c>
      <c r="C43" s="199" t="s">
        <v>109</v>
      </c>
      <c r="D43" s="22"/>
      <c r="E43" s="22"/>
      <c r="F43" s="10"/>
    </row>
    <row r="44" spans="1:6" s="118" customFormat="1" x14ac:dyDescent="0.3">
      <c r="A44" s="32" t="s">
        <v>106</v>
      </c>
      <c r="B44" s="199" t="s">
        <v>33</v>
      </c>
      <c r="C44" s="199" t="s">
        <v>80</v>
      </c>
      <c r="D44" s="199" t="s">
        <v>32</v>
      </c>
      <c r="E44" s="199" t="s">
        <v>51</v>
      </c>
      <c r="F44" s="200" t="s">
        <v>52</v>
      </c>
    </row>
    <row r="45" spans="1:6" s="118" customFormat="1" x14ac:dyDescent="0.3">
      <c r="A45" s="20" t="s">
        <v>121</v>
      </c>
      <c r="B45" s="201">
        <f>2326839.9+2142628.04</f>
        <v>4469467.9399999995</v>
      </c>
      <c r="C45" s="201">
        <v>174376.51</v>
      </c>
      <c r="D45" s="202">
        <f t="shared" ref="D45:D57" si="2">SUM(B45:C45)</f>
        <v>4643844.4499999993</v>
      </c>
      <c r="E45" s="208">
        <v>-3750000</v>
      </c>
      <c r="F45" s="203">
        <f>D45+E45</f>
        <v>893844.44999999925</v>
      </c>
    </row>
    <row r="46" spans="1:6" s="118" customFormat="1" x14ac:dyDescent="0.3">
      <c r="A46" s="20" t="s">
        <v>122</v>
      </c>
      <c r="B46" s="201">
        <f>2509141.92+2142953.99</f>
        <v>4652095.91</v>
      </c>
      <c r="C46" s="201">
        <v>-38629.160000000003</v>
      </c>
      <c r="D46" s="202">
        <f t="shared" si="2"/>
        <v>4613466.75</v>
      </c>
      <c r="E46" s="208">
        <v>-3750000</v>
      </c>
      <c r="F46" s="203">
        <f t="shared" ref="F46:F57" si="3">D46+E46</f>
        <v>863466.75</v>
      </c>
    </row>
    <row r="47" spans="1:6" s="118" customFormat="1" x14ac:dyDescent="0.3">
      <c r="A47" s="204" t="s">
        <v>123</v>
      </c>
      <c r="B47" s="201">
        <f>1091383.65+3250213.7</f>
        <v>4341597.3499999996</v>
      </c>
      <c r="C47" s="201">
        <v>173903.74</v>
      </c>
      <c r="D47" s="202">
        <f t="shared" si="2"/>
        <v>4515501.09</v>
      </c>
      <c r="E47" s="208">
        <v>-3250000</v>
      </c>
      <c r="F47" s="203">
        <f t="shared" si="3"/>
        <v>1265501.0899999999</v>
      </c>
    </row>
    <row r="48" spans="1:6" s="118" customFormat="1" x14ac:dyDescent="0.3">
      <c r="A48" s="20" t="s">
        <v>124</v>
      </c>
      <c r="B48" s="201">
        <f>699956.05+1750517.84</f>
        <v>2450473.89</v>
      </c>
      <c r="C48" s="201">
        <v>441002.93</v>
      </c>
      <c r="D48" s="202">
        <f t="shared" si="2"/>
        <v>2891476.8200000003</v>
      </c>
      <c r="E48" s="208">
        <v>-3250000</v>
      </c>
      <c r="F48" s="203">
        <f t="shared" si="3"/>
        <v>-358523.1799999997</v>
      </c>
    </row>
    <row r="49" spans="1:6" s="118" customFormat="1" x14ac:dyDescent="0.3">
      <c r="A49" s="20" t="s">
        <v>125</v>
      </c>
      <c r="B49" s="201">
        <f>978038.53+1500775.46</f>
        <v>2478813.9900000002</v>
      </c>
      <c r="C49" s="201">
        <v>132823.09000000003</v>
      </c>
      <c r="D49" s="202">
        <f t="shared" si="2"/>
        <v>2611637.08</v>
      </c>
      <c r="E49" s="208">
        <v>-3250000</v>
      </c>
      <c r="F49" s="203">
        <f t="shared" si="3"/>
        <v>-638362.91999999993</v>
      </c>
    </row>
    <row r="50" spans="1:6" s="118" customFormat="1" x14ac:dyDescent="0.3">
      <c r="A50" s="20" t="s">
        <v>126</v>
      </c>
      <c r="B50" s="201">
        <f>898529.41+1501030.39</f>
        <v>2399559.7999999998</v>
      </c>
      <c r="C50" s="201">
        <v>105460.29999999999</v>
      </c>
      <c r="D50" s="202">
        <f t="shared" si="2"/>
        <v>2505020.0999999996</v>
      </c>
      <c r="E50" s="208">
        <v>-3250000</v>
      </c>
      <c r="F50" s="203">
        <f t="shared" si="3"/>
        <v>-744979.90000000037</v>
      </c>
    </row>
    <row r="51" spans="1:6" s="118" customFormat="1" x14ac:dyDescent="0.3">
      <c r="A51" s="20" t="s">
        <v>127</v>
      </c>
      <c r="B51" s="201">
        <f>1075713.86+1001219.61</f>
        <v>2076933.4700000002</v>
      </c>
      <c r="C51" s="201">
        <v>170969.72999999998</v>
      </c>
      <c r="D51" s="202">
        <f t="shared" si="2"/>
        <v>2247903.2000000002</v>
      </c>
      <c r="E51" s="208">
        <v>-3250000</v>
      </c>
      <c r="F51" s="203">
        <f t="shared" si="3"/>
        <v>-1002096.7999999998</v>
      </c>
    </row>
    <row r="52" spans="1:6" s="118" customFormat="1" x14ac:dyDescent="0.3">
      <c r="A52" s="20" t="s">
        <v>115</v>
      </c>
      <c r="B52" s="201">
        <f>2117237.85+1001378.71</f>
        <v>3118616.56</v>
      </c>
      <c r="C52" s="201">
        <v>226465.03000000003</v>
      </c>
      <c r="D52" s="202">
        <f t="shared" si="2"/>
        <v>3345081.59</v>
      </c>
      <c r="E52" s="208">
        <v>-3250000</v>
      </c>
      <c r="F52" s="203">
        <f t="shared" si="3"/>
        <v>95081.589999999851</v>
      </c>
    </row>
    <row r="53" spans="1:6" s="118" customFormat="1" x14ac:dyDescent="0.3">
      <c r="A53" s="20" t="s">
        <v>116</v>
      </c>
      <c r="B53" s="205">
        <f>2640256.57+1001548.81</f>
        <v>3641805.38</v>
      </c>
      <c r="C53" s="201">
        <v>331084.93999999994</v>
      </c>
      <c r="D53" s="202">
        <f t="shared" si="2"/>
        <v>3972890.32</v>
      </c>
      <c r="E53" s="208">
        <v>-3250000</v>
      </c>
      <c r="F53" s="203">
        <f t="shared" si="3"/>
        <v>722890.31999999983</v>
      </c>
    </row>
    <row r="54" spans="1:6" s="118" customFormat="1" x14ac:dyDescent="0.3">
      <c r="A54" s="20" t="s">
        <v>117</v>
      </c>
      <c r="B54" s="205">
        <f>3128805.9+1551749.07</f>
        <v>4680554.97</v>
      </c>
      <c r="C54" s="201">
        <v>-310.28999999999996</v>
      </c>
      <c r="D54" s="202">
        <f t="shared" si="2"/>
        <v>4680244.68</v>
      </c>
      <c r="E54" s="208">
        <v>-3250000</v>
      </c>
      <c r="F54" s="203">
        <f t="shared" si="3"/>
        <v>1430244.6799999997</v>
      </c>
    </row>
    <row r="55" spans="1:6" s="118" customFormat="1" x14ac:dyDescent="0.3">
      <c r="A55" s="20" t="s">
        <v>118</v>
      </c>
      <c r="B55" s="209">
        <f>(3128805.9-214696.32)+(1551749.07+246.58)</f>
        <v>4466105.2300000004</v>
      </c>
      <c r="C55" s="201">
        <v>217030.82</v>
      </c>
      <c r="D55" s="202">
        <f t="shared" si="2"/>
        <v>4683136.0500000007</v>
      </c>
      <c r="E55" s="208">
        <v>-3250000</v>
      </c>
      <c r="F55" s="203">
        <f t="shared" si="3"/>
        <v>1433136.0500000007</v>
      </c>
    </row>
    <row r="56" spans="1:6" s="118" customFormat="1" x14ac:dyDescent="0.3">
      <c r="A56" s="20" t="s">
        <v>119</v>
      </c>
      <c r="B56" s="209">
        <f>(3128805.9-214696.32-724796.42)+(1551749.07+246.58+1000277.61)</f>
        <v>4741586.42</v>
      </c>
      <c r="C56" s="201">
        <v>-6541.160000000008</v>
      </c>
      <c r="D56" s="202">
        <f t="shared" si="2"/>
        <v>4735045.26</v>
      </c>
      <c r="E56" s="208">
        <v>-3250000</v>
      </c>
      <c r="F56" s="203">
        <f t="shared" si="3"/>
        <v>1485045.2599999998</v>
      </c>
    </row>
    <row r="57" spans="1:6" s="118" customFormat="1" x14ac:dyDescent="0.3">
      <c r="A57" s="20" t="s">
        <v>120</v>
      </c>
      <c r="B57" s="206">
        <f>(3128805.9-214696.32-724796.42-1220864.36)+(1551749.07+246.58+1000277.61)+(1541000-986000)</f>
        <v>4075722.0600000005</v>
      </c>
      <c r="C57" s="201">
        <v>233557.31999999998</v>
      </c>
      <c r="D57" s="202">
        <f t="shared" si="2"/>
        <v>4309279.3800000008</v>
      </c>
      <c r="E57" s="208">
        <v>-3250000</v>
      </c>
      <c r="F57" s="203">
        <f t="shared" si="3"/>
        <v>1059279.3800000008</v>
      </c>
    </row>
    <row r="58" spans="1:6" s="118" customFormat="1" x14ac:dyDescent="0.3">
      <c r="A58" s="20"/>
      <c r="B58" s="22"/>
      <c r="C58" s="43" t="s">
        <v>34</v>
      </c>
      <c r="D58" s="46">
        <f>AVERAGE(D45:D57)</f>
        <v>3827271.2899999996</v>
      </c>
      <c r="E58" s="47"/>
      <c r="F58" s="44">
        <f>AVERAGE(F45:F57)</f>
        <v>500348.21307692304</v>
      </c>
    </row>
    <row r="59" spans="1:6" s="118" customFormat="1" x14ac:dyDescent="0.3">
      <c r="A59" s="20"/>
      <c r="B59" s="22"/>
      <c r="C59" s="22"/>
      <c r="D59" s="22"/>
      <c r="E59" s="22"/>
      <c r="F59" s="10"/>
    </row>
    <row r="60" spans="1:6" s="118" customFormat="1" x14ac:dyDescent="0.3">
      <c r="A60" s="20"/>
      <c r="B60" s="22"/>
      <c r="C60" s="22"/>
      <c r="D60" s="22"/>
      <c r="E60" s="22"/>
      <c r="F60" s="10"/>
    </row>
    <row r="61" spans="1:6" s="118" customFormat="1" x14ac:dyDescent="0.3">
      <c r="A61" s="20"/>
      <c r="B61" s="22"/>
      <c r="C61" s="22"/>
      <c r="D61" s="22"/>
      <c r="E61" s="22"/>
      <c r="F61" s="10"/>
    </row>
    <row r="62" spans="1:6" s="118" customFormat="1" x14ac:dyDescent="0.3">
      <c r="A62" s="20"/>
      <c r="B62" s="22"/>
      <c r="C62" s="22"/>
      <c r="D62" s="22"/>
      <c r="E62" s="22"/>
      <c r="F62" s="10"/>
    </row>
    <row r="63" spans="1:6" s="118" customFormat="1" x14ac:dyDescent="0.3">
      <c r="A63" s="20"/>
      <c r="B63" s="22"/>
      <c r="C63" s="22"/>
      <c r="D63" s="22"/>
      <c r="E63" s="22"/>
      <c r="F63" s="10"/>
    </row>
    <row r="64" spans="1:6" s="118" customFormat="1" x14ac:dyDescent="0.3">
      <c r="A64" s="20"/>
      <c r="B64" s="22"/>
      <c r="C64" s="22"/>
      <c r="D64" s="22"/>
      <c r="E64" s="22"/>
      <c r="F64" s="10"/>
    </row>
    <row r="65" spans="1:6" s="118" customFormat="1" x14ac:dyDescent="0.3">
      <c r="A65" s="20"/>
      <c r="B65" s="22"/>
      <c r="C65" s="22"/>
      <c r="D65" s="22"/>
      <c r="E65" s="22"/>
      <c r="F65" s="10"/>
    </row>
    <row r="66" spans="1:6" s="118" customFormat="1" x14ac:dyDescent="0.3">
      <c r="A66" s="20"/>
      <c r="B66" s="22"/>
      <c r="C66" s="22"/>
      <c r="D66" s="22"/>
      <c r="E66" s="22"/>
      <c r="F66" s="10"/>
    </row>
    <row r="67" spans="1:6" s="118" customFormat="1" x14ac:dyDescent="0.3">
      <c r="A67" s="20"/>
      <c r="B67" s="22"/>
      <c r="C67" s="22"/>
      <c r="D67" s="22"/>
      <c r="E67" s="22"/>
      <c r="F67" s="10"/>
    </row>
    <row r="68" spans="1:6" s="118" customFormat="1" x14ac:dyDescent="0.3">
      <c r="A68" s="20"/>
      <c r="B68" s="22"/>
      <c r="C68" s="22"/>
      <c r="D68" s="22"/>
      <c r="E68" s="22"/>
      <c r="F68" s="10"/>
    </row>
    <row r="69" spans="1:6" s="118" customFormat="1" x14ac:dyDescent="0.3">
      <c r="A69" s="20"/>
      <c r="B69" s="22"/>
      <c r="C69" s="22"/>
      <c r="D69" s="22"/>
      <c r="E69" s="22"/>
      <c r="F69" s="10"/>
    </row>
    <row r="70" spans="1:6" s="118" customFormat="1" x14ac:dyDescent="0.3">
      <c r="A70" s="20"/>
      <c r="B70" s="22"/>
      <c r="C70" s="22"/>
      <c r="D70" s="22"/>
      <c r="E70" s="22"/>
      <c r="F70" s="10"/>
    </row>
    <row r="71" spans="1:6" s="118" customFormat="1" x14ac:dyDescent="0.3">
      <c r="A71" s="20"/>
      <c r="B71" s="22"/>
      <c r="C71" s="22"/>
      <c r="D71" s="22"/>
      <c r="E71" s="22"/>
      <c r="F71" s="10"/>
    </row>
    <row r="72" spans="1:6" s="118" customFormat="1" x14ac:dyDescent="0.3">
      <c r="A72" s="20"/>
      <c r="B72" s="22"/>
      <c r="C72" s="22"/>
      <c r="D72" s="22"/>
      <c r="E72" s="22"/>
      <c r="F72" s="10"/>
    </row>
    <row r="73" spans="1:6" s="118" customFormat="1" x14ac:dyDescent="0.3">
      <c r="A73" s="20"/>
      <c r="B73" s="22"/>
      <c r="C73" s="22"/>
      <c r="D73" s="22"/>
      <c r="E73" s="22"/>
      <c r="F73" s="10"/>
    </row>
    <row r="74" spans="1:6" s="118" customFormat="1" x14ac:dyDescent="0.3">
      <c r="A74" s="18"/>
      <c r="B74" s="19"/>
      <c r="C74" s="19"/>
      <c r="D74" s="19"/>
      <c r="E74" s="19"/>
      <c r="F74" s="12"/>
    </row>
    <row r="75" spans="1:6" s="163" customFormat="1" x14ac:dyDescent="0.3"/>
    <row r="76" spans="1:6" s="101" customFormat="1" x14ac:dyDescent="0.3">
      <c r="A76" s="15" t="s">
        <v>93</v>
      </c>
      <c r="B76" s="197">
        <v>20200069</v>
      </c>
      <c r="C76" s="218">
        <v>0.05</v>
      </c>
      <c r="D76" s="45">
        <f>B76*C76</f>
        <v>1010003.4500000001</v>
      </c>
      <c r="E76" s="16"/>
      <c r="F76" s="198" t="s">
        <v>15</v>
      </c>
    </row>
    <row r="77" spans="1:6" s="101" customFormat="1" x14ac:dyDescent="0.3">
      <c r="A77" s="20"/>
      <c r="B77" s="22"/>
      <c r="C77" s="22"/>
      <c r="D77" s="22"/>
      <c r="E77" s="22"/>
      <c r="F77" s="10"/>
    </row>
    <row r="78" spans="1:6" s="101" customFormat="1" x14ac:dyDescent="0.3">
      <c r="A78" s="32" t="s">
        <v>108</v>
      </c>
      <c r="B78" s="199" t="s">
        <v>107</v>
      </c>
      <c r="C78" s="199" t="s">
        <v>109</v>
      </c>
      <c r="D78" s="22"/>
      <c r="E78" s="22"/>
      <c r="F78" s="10"/>
    </row>
    <row r="79" spans="1:6" s="101" customFormat="1" x14ac:dyDescent="0.3">
      <c r="A79" s="32" t="s">
        <v>106</v>
      </c>
      <c r="B79" s="199" t="s">
        <v>33</v>
      </c>
      <c r="C79" s="199" t="s">
        <v>80</v>
      </c>
      <c r="D79" s="199" t="s">
        <v>32</v>
      </c>
      <c r="E79" s="199" t="s">
        <v>51</v>
      </c>
      <c r="F79" s="200" t="s">
        <v>52</v>
      </c>
    </row>
    <row r="80" spans="1:6" s="101" customFormat="1" x14ac:dyDescent="0.3">
      <c r="A80" s="20" t="s">
        <v>105</v>
      </c>
      <c r="B80" s="201">
        <f>4652899.74</f>
        <v>4652899.74</v>
      </c>
      <c r="C80" s="201">
        <f>1040.64+187457.81+48179.72</f>
        <v>236678.17</v>
      </c>
      <c r="D80" s="202">
        <f t="shared" ref="D80:D92" si="4">SUM(B80:C80)</f>
        <v>4889577.91</v>
      </c>
      <c r="E80" s="201">
        <v>-4250000</v>
      </c>
      <c r="F80" s="203">
        <f>D80+E80</f>
        <v>639577.91000000015</v>
      </c>
    </row>
    <row r="81" spans="1:6" s="101" customFormat="1" x14ac:dyDescent="0.3">
      <c r="A81" s="20" t="s">
        <v>94</v>
      </c>
      <c r="B81" s="201">
        <f>4530830.65</f>
        <v>4530830.6500000004</v>
      </c>
      <c r="C81" s="201">
        <f>29247.04+222395.23+243166.65+4800-2573.65-3331.58-2050</f>
        <v>491653.69</v>
      </c>
      <c r="D81" s="202">
        <f t="shared" si="4"/>
        <v>5022484.3400000008</v>
      </c>
      <c r="E81" s="201">
        <v>-4250000</v>
      </c>
      <c r="F81" s="203">
        <f t="shared" ref="F81:F92" si="5">D81+E81</f>
        <v>772484.34000000078</v>
      </c>
    </row>
    <row r="82" spans="1:6" s="101" customFormat="1" x14ac:dyDescent="0.3">
      <c r="A82" s="204" t="s">
        <v>95</v>
      </c>
      <c r="B82" s="201">
        <f>711584.39+3750246.57</f>
        <v>4461830.96</v>
      </c>
      <c r="C82" s="201">
        <f>8696.5-2296.25+10359.86+21156.18-3476.16-2050</f>
        <v>32390.130000000005</v>
      </c>
      <c r="D82" s="202">
        <f t="shared" si="4"/>
        <v>4494221.09</v>
      </c>
      <c r="E82" s="201">
        <v>-3750000</v>
      </c>
      <c r="F82" s="203">
        <f t="shared" si="5"/>
        <v>744221.08999999985</v>
      </c>
    </row>
    <row r="83" spans="1:6" s="101" customFormat="1" x14ac:dyDescent="0.3">
      <c r="A83" s="20" t="s">
        <v>96</v>
      </c>
      <c r="B83" s="201">
        <f>138574.5+2750678.31</f>
        <v>2889252.81</v>
      </c>
      <c r="C83" s="201">
        <f>7565.64+533.45+181852.98+118237.21+60-2438.41-2050</f>
        <v>303760.87000000005</v>
      </c>
      <c r="D83" s="202">
        <f t="shared" si="4"/>
        <v>3193013.68</v>
      </c>
      <c r="E83" s="201">
        <v>-3750000</v>
      </c>
      <c r="F83" s="203">
        <f t="shared" si="5"/>
        <v>-556986.31999999983</v>
      </c>
    </row>
    <row r="84" spans="1:6" s="101" customFormat="1" x14ac:dyDescent="0.3">
      <c r="A84" s="20" t="s">
        <v>97</v>
      </c>
      <c r="B84" s="201">
        <f>1085579.35+1750914.64</f>
        <v>2836493.99</v>
      </c>
      <c r="C84" s="201">
        <f>3757.12+322.23+24672.13+16.41+944.72+73466.46-3859.3-2050-306.47</f>
        <v>96963.3</v>
      </c>
      <c r="D84" s="202">
        <f t="shared" si="4"/>
        <v>2933457.29</v>
      </c>
      <c r="E84" s="201">
        <v>-3750000</v>
      </c>
      <c r="F84" s="203">
        <f t="shared" si="5"/>
        <v>-816542.71</v>
      </c>
    </row>
    <row r="85" spans="1:6" s="101" customFormat="1" x14ac:dyDescent="0.3">
      <c r="A85" s="20" t="s">
        <v>98</v>
      </c>
      <c r="B85" s="201">
        <f>990981.44+1751140.46</f>
        <v>2742121.9</v>
      </c>
      <c r="C85" s="201">
        <f>4884.91+5002.6+99833.53+32.44+120457.17-118.57-86883.18-4689.1-2050</f>
        <v>136469.79999999999</v>
      </c>
      <c r="D85" s="202">
        <f t="shared" si="4"/>
        <v>2878591.6999999997</v>
      </c>
      <c r="E85" s="201">
        <v>-3750000</v>
      </c>
      <c r="F85" s="203">
        <f t="shared" si="5"/>
        <v>-871408.30000000028</v>
      </c>
    </row>
    <row r="86" spans="1:6" s="101" customFormat="1" x14ac:dyDescent="0.3">
      <c r="A86" s="20" t="s">
        <v>99</v>
      </c>
      <c r="B86" s="201">
        <f>1518844.48+1051357.22</f>
        <v>2570201.7000000002</v>
      </c>
      <c r="C86" s="201">
        <f>3838.58+2482.79+182192.8+42.19+110794.19+190-2571.9-3413.41-2050-143.95</f>
        <v>291361.28999999998</v>
      </c>
      <c r="D86" s="202">
        <f t="shared" si="4"/>
        <v>2861562.99</v>
      </c>
      <c r="E86" s="201">
        <v>-3750000</v>
      </c>
      <c r="F86" s="203">
        <f t="shared" si="5"/>
        <v>-888437.00999999978</v>
      </c>
    </row>
    <row r="87" spans="1:6" s="101" customFormat="1" x14ac:dyDescent="0.3">
      <c r="A87" s="20" t="s">
        <v>100</v>
      </c>
      <c r="B87" s="201">
        <f>1222015.59+1051473.81</f>
        <v>2273489.4000000004</v>
      </c>
      <c r="C87" s="201">
        <f>28231.02+14220.75+270497.67+52.75+50766+111731.81-50082.94-28402.47-2050-315.32</f>
        <v>394649.26999999996</v>
      </c>
      <c r="D87" s="202">
        <f t="shared" si="4"/>
        <v>2668138.6700000004</v>
      </c>
      <c r="E87" s="201">
        <v>-3750000</v>
      </c>
      <c r="F87" s="203">
        <f t="shared" si="5"/>
        <v>-1081861.3299999996</v>
      </c>
    </row>
    <row r="88" spans="1:6" s="101" customFormat="1" x14ac:dyDescent="0.3">
      <c r="A88" s="20" t="s">
        <v>110</v>
      </c>
      <c r="B88" s="201">
        <f>2367266.12+1051597.13</f>
        <v>3418863.25</v>
      </c>
      <c r="C88" s="201">
        <f>7363.76+257.34+44192.29+61.73+45246.03-343.66-54010.37-3894.6</f>
        <v>38872.51999999999</v>
      </c>
      <c r="D88" s="202">
        <f t="shared" si="4"/>
        <v>3457735.77</v>
      </c>
      <c r="E88" s="201">
        <v>-3750000</v>
      </c>
      <c r="F88" s="203">
        <f t="shared" si="5"/>
        <v>-292264.23</v>
      </c>
    </row>
    <row r="89" spans="1:6" s="101" customFormat="1" x14ac:dyDescent="0.3">
      <c r="A89" s="20" t="s">
        <v>101</v>
      </c>
      <c r="B89" s="201">
        <f>2929905.01+1596755.67</f>
        <v>4526660.68</v>
      </c>
      <c r="C89" s="201">
        <f>3843.4+768+3383.48+70.35+9.97-47585.62-195.12-9355.92-623.36</f>
        <v>-49684.820000000007</v>
      </c>
      <c r="D89" s="202">
        <f t="shared" si="4"/>
        <v>4476975.8599999994</v>
      </c>
      <c r="E89" s="201">
        <v>-3750000</v>
      </c>
      <c r="F89" s="203">
        <f t="shared" si="5"/>
        <v>726975.8599999994</v>
      </c>
    </row>
    <row r="90" spans="1:6" s="101" customFormat="1" x14ac:dyDescent="0.3">
      <c r="A90" s="20" t="s">
        <v>102</v>
      </c>
      <c r="B90" s="205">
        <f>2134358.75+2141997.53</f>
        <v>4276356.2799999993</v>
      </c>
      <c r="C90" s="201">
        <f>4720.99+57485.11-558</f>
        <v>61648.1</v>
      </c>
      <c r="D90" s="202">
        <f t="shared" si="4"/>
        <v>4338004.379999999</v>
      </c>
      <c r="E90" s="201">
        <v>-3750000</v>
      </c>
      <c r="F90" s="203">
        <f t="shared" si="5"/>
        <v>588004.37999999896</v>
      </c>
    </row>
    <row r="91" spans="1:6" s="101" customFormat="1" x14ac:dyDescent="0.3">
      <c r="A91" s="20" t="s">
        <v>103</v>
      </c>
      <c r="B91" s="205">
        <f>2134358.75-327278.4+2141997.53</f>
        <v>3949077.88</v>
      </c>
      <c r="C91" s="201">
        <f>0+57485.11-24488.85-558-3003.37</f>
        <v>29434.890000000003</v>
      </c>
      <c r="D91" s="202">
        <f t="shared" si="4"/>
        <v>3978512.77</v>
      </c>
      <c r="E91" s="201">
        <v>-3750000</v>
      </c>
      <c r="F91" s="203">
        <f t="shared" si="5"/>
        <v>228512.77000000002</v>
      </c>
    </row>
    <row r="92" spans="1:6" s="101" customFormat="1" x14ac:dyDescent="0.3">
      <c r="A92" s="20" t="s">
        <v>104</v>
      </c>
      <c r="B92" s="206">
        <f>2134358.75+1511000-1592000+2141997.53</f>
        <v>4195356.2799999993</v>
      </c>
      <c r="C92" s="206">
        <f>0+32996.26-3561.37</f>
        <v>29434.890000000003</v>
      </c>
      <c r="D92" s="202">
        <f t="shared" si="4"/>
        <v>4224791.169999999</v>
      </c>
      <c r="E92" s="201">
        <v>-3750000</v>
      </c>
      <c r="F92" s="203">
        <f t="shared" si="5"/>
        <v>474791.16999999899</v>
      </c>
    </row>
    <row r="93" spans="1:6" s="101" customFormat="1" x14ac:dyDescent="0.3">
      <c r="A93" s="20"/>
      <c r="B93" s="22"/>
      <c r="C93" s="43" t="s">
        <v>34</v>
      </c>
      <c r="D93" s="46">
        <f>AVERAGE(D80:D92)</f>
        <v>3801312.8938461537</v>
      </c>
      <c r="E93" s="47"/>
      <c r="F93" s="44">
        <f>AVERAGE(F80:F92)</f>
        <v>-25610.183076923175</v>
      </c>
    </row>
    <row r="94" spans="1:6" s="101" customFormat="1" x14ac:dyDescent="0.3">
      <c r="A94" s="20"/>
      <c r="B94" s="22"/>
      <c r="C94" s="22"/>
      <c r="D94" s="22"/>
      <c r="E94" s="22"/>
      <c r="F94" s="10"/>
    </row>
    <row r="95" spans="1:6" s="101" customFormat="1" x14ac:dyDescent="0.3">
      <c r="A95" s="20"/>
      <c r="B95" s="22"/>
      <c r="C95" s="22"/>
      <c r="D95" s="22"/>
      <c r="E95" s="22"/>
      <c r="F95" s="10"/>
    </row>
    <row r="96" spans="1:6" s="101" customFormat="1" x14ac:dyDescent="0.3">
      <c r="A96" s="20"/>
      <c r="B96" s="22"/>
      <c r="C96" s="22"/>
      <c r="D96" s="22"/>
      <c r="E96" s="22"/>
      <c r="F96" s="10"/>
    </row>
    <row r="97" spans="1:6" s="101" customFormat="1" x14ac:dyDescent="0.3">
      <c r="A97" s="20"/>
      <c r="B97" s="22"/>
      <c r="C97" s="22"/>
      <c r="D97" s="22"/>
      <c r="E97" s="22"/>
      <c r="F97" s="10"/>
    </row>
    <row r="98" spans="1:6" s="101" customFormat="1" x14ac:dyDescent="0.3">
      <c r="A98" s="20"/>
      <c r="B98" s="22"/>
      <c r="C98" s="22"/>
      <c r="D98" s="22"/>
      <c r="E98" s="22"/>
      <c r="F98" s="10"/>
    </row>
    <row r="99" spans="1:6" s="101" customFormat="1" x14ac:dyDescent="0.3">
      <c r="A99" s="20"/>
      <c r="B99" s="22"/>
      <c r="C99" s="22"/>
      <c r="D99" s="22"/>
      <c r="E99" s="22"/>
      <c r="F99" s="10"/>
    </row>
    <row r="100" spans="1:6" s="101" customFormat="1" x14ac:dyDescent="0.3">
      <c r="A100" s="20"/>
      <c r="B100" s="22"/>
      <c r="C100" s="22"/>
      <c r="D100" s="22"/>
      <c r="E100" s="22"/>
      <c r="F100" s="10"/>
    </row>
    <row r="101" spans="1:6" s="101" customFormat="1" x14ac:dyDescent="0.3">
      <c r="A101" s="20"/>
      <c r="B101" s="22"/>
      <c r="C101" s="22"/>
      <c r="D101" s="22"/>
      <c r="E101" s="22"/>
      <c r="F101" s="10"/>
    </row>
    <row r="102" spans="1:6" s="101" customFormat="1" x14ac:dyDescent="0.3">
      <c r="A102" s="20"/>
      <c r="B102" s="22"/>
      <c r="C102" s="22"/>
      <c r="D102" s="22"/>
      <c r="E102" s="22"/>
      <c r="F102" s="10"/>
    </row>
    <row r="103" spans="1:6" s="101" customFormat="1" x14ac:dyDescent="0.3">
      <c r="A103" s="20"/>
      <c r="B103" s="22"/>
      <c r="C103" s="22"/>
      <c r="D103" s="22"/>
      <c r="E103" s="22"/>
      <c r="F103" s="10"/>
    </row>
    <row r="104" spans="1:6" s="101" customFormat="1" x14ac:dyDescent="0.3">
      <c r="A104" s="20"/>
      <c r="B104" s="22"/>
      <c r="C104" s="22"/>
      <c r="D104" s="22"/>
      <c r="E104" s="22"/>
      <c r="F104" s="10"/>
    </row>
    <row r="105" spans="1:6" s="101" customFormat="1" x14ac:dyDescent="0.3">
      <c r="A105" s="20"/>
      <c r="B105" s="22"/>
      <c r="C105" s="22"/>
      <c r="D105" s="22"/>
      <c r="E105" s="22"/>
      <c r="F105" s="10"/>
    </row>
    <row r="106" spans="1:6" s="101" customFormat="1" x14ac:dyDescent="0.3">
      <c r="A106" s="20"/>
      <c r="B106" s="22"/>
      <c r="C106" s="22"/>
      <c r="D106" s="22"/>
      <c r="E106" s="22"/>
      <c r="F106" s="10"/>
    </row>
    <row r="107" spans="1:6" s="101" customFormat="1" x14ac:dyDescent="0.3">
      <c r="A107" s="20"/>
      <c r="B107" s="22"/>
      <c r="C107" s="22"/>
      <c r="D107" s="22"/>
      <c r="E107" s="22"/>
      <c r="F107" s="10"/>
    </row>
    <row r="108" spans="1:6" s="101" customFormat="1" x14ac:dyDescent="0.3">
      <c r="A108" s="20"/>
      <c r="B108" s="22"/>
      <c r="C108" s="22"/>
      <c r="D108" s="22"/>
      <c r="E108" s="22"/>
      <c r="F108" s="10"/>
    </row>
    <row r="109" spans="1:6" s="101" customFormat="1" x14ac:dyDescent="0.3">
      <c r="A109" s="18"/>
      <c r="B109" s="19"/>
      <c r="C109" s="19"/>
      <c r="D109" s="19"/>
      <c r="E109" s="19"/>
      <c r="F109" s="12"/>
    </row>
    <row r="110" spans="1:6" s="163" customFormat="1" x14ac:dyDescent="0.3"/>
    <row r="111" spans="1:6" x14ac:dyDescent="0.3">
      <c r="A111" s="15" t="s">
        <v>55</v>
      </c>
      <c r="B111" s="197">
        <v>19219112</v>
      </c>
      <c r="C111" s="218">
        <v>0.05</v>
      </c>
      <c r="D111" s="45">
        <f>B111*C111</f>
        <v>960955.60000000009</v>
      </c>
      <c r="E111" s="16"/>
      <c r="F111" s="198" t="s">
        <v>15</v>
      </c>
    </row>
    <row r="112" spans="1:6" x14ac:dyDescent="0.3">
      <c r="A112" s="20"/>
      <c r="B112" s="22"/>
      <c r="C112" s="22"/>
      <c r="D112" s="22"/>
      <c r="E112" s="22"/>
      <c r="F112" s="10"/>
    </row>
    <row r="113" spans="1:6" s="59" customFormat="1" x14ac:dyDescent="0.3">
      <c r="A113" s="32" t="s">
        <v>53</v>
      </c>
      <c r="B113" s="199" t="s">
        <v>33</v>
      </c>
      <c r="C113" s="199" t="s">
        <v>80</v>
      </c>
      <c r="D113" s="199" t="s">
        <v>32</v>
      </c>
      <c r="E113" s="199" t="s">
        <v>51</v>
      </c>
      <c r="F113" s="200" t="s">
        <v>52</v>
      </c>
    </row>
    <row r="114" spans="1:6" s="59" customFormat="1" x14ac:dyDescent="0.3">
      <c r="A114" s="20" t="s">
        <v>66</v>
      </c>
      <c r="B114" s="201">
        <f>3381641.09+1075714.26</f>
        <v>4457355.3499999996</v>
      </c>
      <c r="C114" s="201">
        <f>3241.72+27646.03+607105.67+27.23+6.68-8.59-9753-251.71-4.24-90.9</f>
        <v>627918.89000000013</v>
      </c>
      <c r="D114" s="202">
        <f t="shared" ref="D114:D126" si="6">SUM(B114:C114)</f>
        <v>5085274.24</v>
      </c>
      <c r="E114" s="201">
        <v>-4250000</v>
      </c>
      <c r="F114" s="203">
        <f>D114+E114</f>
        <v>835274.24000000022</v>
      </c>
    </row>
    <row r="115" spans="1:6" s="59" customFormat="1" x14ac:dyDescent="0.3">
      <c r="A115" s="20" t="s">
        <v>56</v>
      </c>
      <c r="B115" s="201">
        <f>3040351.82+1255000</f>
        <v>4295351.82</v>
      </c>
      <c r="C115" s="201">
        <f>26262.38+36359.24+391621.61-10+51.18+7807+119000-39.95+13.15-7.77-92.62-349.05-9595.37-87217.01-8.59-9753-251.71-4.24-90.9</f>
        <v>473694.34999999986</v>
      </c>
      <c r="D115" s="202">
        <f t="shared" si="6"/>
        <v>4769046.17</v>
      </c>
      <c r="E115" s="201">
        <v>-4250000</v>
      </c>
      <c r="F115" s="203">
        <f t="shared" ref="F115:F126" si="7">D115+E115</f>
        <v>519046.16999999993</v>
      </c>
    </row>
    <row r="116" spans="1:6" s="59" customFormat="1" x14ac:dyDescent="0.3">
      <c r="A116" s="204" t="s">
        <v>57</v>
      </c>
      <c r="B116" s="201">
        <f>3339727.51</f>
        <v>3339727.51</v>
      </c>
      <c r="C116" s="201">
        <f>68661.55+62339.59+943857.6-32.97+68.98+203801+134616.39-80.24+14.8-30.28-195.7-349.05-11996.01-180457.25-8.59-9753-251.71-4.24-90.9</f>
        <v>1210109.9700000002</v>
      </c>
      <c r="D116" s="202">
        <f t="shared" si="6"/>
        <v>4549837.4800000004</v>
      </c>
      <c r="E116" s="201">
        <v>-4250000</v>
      </c>
      <c r="F116" s="203">
        <f t="shared" si="7"/>
        <v>299837.48000000045</v>
      </c>
    </row>
    <row r="117" spans="1:6" s="59" customFormat="1" x14ac:dyDescent="0.3">
      <c r="A117" s="20" t="s">
        <v>58</v>
      </c>
      <c r="B117" s="201">
        <f>3158212.89</f>
        <v>3158212.89</v>
      </c>
      <c r="C117" s="201">
        <f>9576.97+159.36+194513.61+20398.98+6432.57-30-2400.64-98208.03-6432.57</f>
        <v>124010.24999999997</v>
      </c>
      <c r="D117" s="202">
        <f t="shared" si="6"/>
        <v>3282223.14</v>
      </c>
      <c r="E117" s="201">
        <v>-4250000</v>
      </c>
      <c r="F117" s="203">
        <f t="shared" si="7"/>
        <v>-967776.85999999987</v>
      </c>
    </row>
    <row r="118" spans="1:6" s="59" customFormat="1" x14ac:dyDescent="0.3">
      <c r="A118" s="20" t="s">
        <v>59</v>
      </c>
      <c r="B118" s="201">
        <f>2479707.43</f>
        <v>2479707.4300000002</v>
      </c>
      <c r="C118" s="201">
        <f>40361.86+16948.39+484848.97+21207.25+1557.83+7990.4-200-67169.07-96145.75-6432.57-1557.83-186.99</f>
        <v>401222.48999999993</v>
      </c>
      <c r="D118" s="202">
        <f t="shared" si="6"/>
        <v>2880929.92</v>
      </c>
      <c r="E118" s="201">
        <v>-4250000</v>
      </c>
      <c r="F118" s="203">
        <f t="shared" si="7"/>
        <v>-1369070.08</v>
      </c>
    </row>
    <row r="119" spans="1:6" s="59" customFormat="1" x14ac:dyDescent="0.3">
      <c r="A119" s="20" t="s">
        <v>60</v>
      </c>
      <c r="B119" s="201">
        <f>2605528.73</f>
        <v>2605528.73</v>
      </c>
      <c r="C119" s="201">
        <f>3206.52+957.06+369070.46+30.08-122.27-200-80351.33-895.79-186.99</f>
        <v>291507.74000000005</v>
      </c>
      <c r="D119" s="202">
        <f t="shared" si="6"/>
        <v>2897036.47</v>
      </c>
      <c r="E119" s="201">
        <v>-4250000</v>
      </c>
      <c r="F119" s="203">
        <f t="shared" si="7"/>
        <v>-1352963.5299999998</v>
      </c>
    </row>
    <row r="120" spans="1:6" s="59" customFormat="1" x14ac:dyDescent="0.3">
      <c r="A120" s="20" t="s">
        <v>61</v>
      </c>
      <c r="B120" s="201">
        <f>2122935.41</f>
        <v>2122935.41</v>
      </c>
      <c r="C120" s="201">
        <f>40402.3+43599.15+643701.45+60.02+50125.68-213.16-200-143915.55-11210.15-186.99</f>
        <v>622162.74999999988</v>
      </c>
      <c r="D120" s="202">
        <f t="shared" si="6"/>
        <v>2745098.16</v>
      </c>
      <c r="E120" s="201">
        <v>-4250000</v>
      </c>
      <c r="F120" s="203">
        <f t="shared" si="7"/>
        <v>-1504901.8399999999</v>
      </c>
    </row>
    <row r="121" spans="1:6" s="59" customFormat="1" x14ac:dyDescent="0.3">
      <c r="A121" s="20" t="s">
        <v>62</v>
      </c>
      <c r="B121" s="201">
        <f>2614969.92</f>
        <v>2614969.92</v>
      </c>
      <c r="C121" s="201">
        <f>8112.17+13857.21+480107.3+77.29-142.92-600-49729.29-6260.73-400.15</f>
        <v>445020.88</v>
      </c>
      <c r="D121" s="202">
        <f t="shared" si="6"/>
        <v>3059990.8</v>
      </c>
      <c r="E121" s="201">
        <v>-4250000</v>
      </c>
      <c r="F121" s="203">
        <f t="shared" si="7"/>
        <v>-1190009.2000000002</v>
      </c>
    </row>
    <row r="122" spans="1:6" s="59" customFormat="1" x14ac:dyDescent="0.3">
      <c r="A122" s="20" t="s">
        <v>63</v>
      </c>
      <c r="B122" s="201">
        <f>3389074.42</f>
        <v>3389074.42</v>
      </c>
      <c r="C122" s="201">
        <f>19267.84+27912.86+265743.67+77.29+4211.19-49583.61-2610.37-543.07</f>
        <v>264475.8</v>
      </c>
      <c r="D122" s="202">
        <f t="shared" si="6"/>
        <v>3653550.2199999997</v>
      </c>
      <c r="E122" s="201">
        <v>-4250000</v>
      </c>
      <c r="F122" s="203">
        <f t="shared" si="7"/>
        <v>-596449.78000000026</v>
      </c>
    </row>
    <row r="123" spans="1:6" s="59" customFormat="1" x14ac:dyDescent="0.3">
      <c r="A123" s="20" t="s">
        <v>64</v>
      </c>
      <c r="B123" s="201">
        <f>4205733.76</f>
        <v>4205733.76</v>
      </c>
      <c r="C123" s="201">
        <f>4317.3+80.12+197993.47+16.51-662.45-51940.53+5401.62</f>
        <v>155206.04</v>
      </c>
      <c r="D123" s="202">
        <f t="shared" si="6"/>
        <v>4360939.8</v>
      </c>
      <c r="E123" s="201">
        <v>-4250000</v>
      </c>
      <c r="F123" s="203">
        <f t="shared" si="7"/>
        <v>110939.79999999981</v>
      </c>
    </row>
    <row r="124" spans="1:6" s="59" customFormat="1" x14ac:dyDescent="0.3">
      <c r="A124" s="20" t="s">
        <v>81</v>
      </c>
      <c r="B124" s="205">
        <f>4023732.22</f>
        <v>4023732.22</v>
      </c>
      <c r="C124" s="201">
        <f>1750.6+55.75+484.02+16.51-32845.03-3979.4</f>
        <v>-34517.549999999996</v>
      </c>
      <c r="D124" s="202">
        <f t="shared" si="6"/>
        <v>3989214.6700000004</v>
      </c>
      <c r="E124" s="201">
        <v>-4250000</v>
      </c>
      <c r="F124" s="203">
        <f t="shared" si="7"/>
        <v>-260785.32999999961</v>
      </c>
    </row>
    <row r="125" spans="1:6" s="59" customFormat="1" x14ac:dyDescent="0.3">
      <c r="A125" s="20" t="s">
        <v>84</v>
      </c>
      <c r="B125" s="205">
        <v>4269997.8099999996</v>
      </c>
      <c r="C125" s="201">
        <v>142215.37</v>
      </c>
      <c r="D125" s="202">
        <f t="shared" si="6"/>
        <v>4412213.18</v>
      </c>
      <c r="E125" s="201">
        <v>-4250000</v>
      </c>
      <c r="F125" s="203">
        <f t="shared" si="7"/>
        <v>162213.1799999997</v>
      </c>
    </row>
    <row r="126" spans="1:6" s="59" customFormat="1" x14ac:dyDescent="0.3">
      <c r="A126" s="20" t="s">
        <v>65</v>
      </c>
      <c r="B126" s="206">
        <v>4208210</v>
      </c>
      <c r="C126" s="206">
        <v>142215.37</v>
      </c>
      <c r="D126" s="202">
        <f t="shared" si="6"/>
        <v>4350425.37</v>
      </c>
      <c r="E126" s="201">
        <v>-4250000</v>
      </c>
      <c r="F126" s="203">
        <f t="shared" si="7"/>
        <v>100425.37000000011</v>
      </c>
    </row>
    <row r="127" spans="1:6" s="59" customFormat="1" x14ac:dyDescent="0.3">
      <c r="A127" s="20"/>
      <c r="B127" s="22"/>
      <c r="C127" s="43" t="s">
        <v>34</v>
      </c>
      <c r="D127" s="46">
        <f>AVERAGE(D114:D126)</f>
        <v>3848906.1246153843</v>
      </c>
      <c r="E127" s="47"/>
      <c r="F127" s="44">
        <f>AVERAGE(F114:F126)</f>
        <v>-401093.87538461538</v>
      </c>
    </row>
    <row r="128" spans="1:6" s="59" customFormat="1" x14ac:dyDescent="0.3">
      <c r="A128" s="20"/>
      <c r="B128" s="22"/>
      <c r="C128" s="22"/>
      <c r="D128" s="22"/>
      <c r="E128" s="22"/>
      <c r="F128" s="10"/>
    </row>
    <row r="129" spans="1:6" s="59" customFormat="1" x14ac:dyDescent="0.3">
      <c r="A129" s="20"/>
      <c r="B129" s="22"/>
      <c r="C129" s="22"/>
      <c r="D129" s="22"/>
      <c r="E129" s="22"/>
      <c r="F129" s="10"/>
    </row>
    <row r="130" spans="1:6" s="59" customFormat="1" x14ac:dyDescent="0.3">
      <c r="A130" s="20"/>
      <c r="B130" s="22"/>
      <c r="C130" s="22"/>
      <c r="D130" s="22"/>
      <c r="E130" s="22"/>
      <c r="F130" s="10"/>
    </row>
    <row r="131" spans="1:6" s="59" customFormat="1" x14ac:dyDescent="0.3">
      <c r="A131" s="20"/>
      <c r="B131" s="22"/>
      <c r="C131" s="22"/>
      <c r="D131" s="22"/>
      <c r="E131" s="22"/>
      <c r="F131" s="10"/>
    </row>
    <row r="132" spans="1:6" s="59" customFormat="1" x14ac:dyDescent="0.3">
      <c r="A132" s="20"/>
      <c r="B132" s="22"/>
      <c r="C132" s="22"/>
      <c r="D132" s="22"/>
      <c r="E132" s="22"/>
      <c r="F132" s="10"/>
    </row>
    <row r="133" spans="1:6" s="59" customFormat="1" x14ac:dyDescent="0.3">
      <c r="A133" s="20"/>
      <c r="B133" s="22"/>
      <c r="C133" s="22"/>
      <c r="D133" s="22"/>
      <c r="E133" s="22"/>
      <c r="F133" s="10"/>
    </row>
    <row r="134" spans="1:6" s="59" customFormat="1" x14ac:dyDescent="0.3">
      <c r="A134" s="20"/>
      <c r="B134" s="22"/>
      <c r="C134" s="22"/>
      <c r="D134" s="22"/>
      <c r="E134" s="22"/>
      <c r="F134" s="10"/>
    </row>
    <row r="135" spans="1:6" s="59" customFormat="1" x14ac:dyDescent="0.3">
      <c r="A135" s="20"/>
      <c r="B135" s="22"/>
      <c r="C135" s="22"/>
      <c r="D135" s="22"/>
      <c r="E135" s="22"/>
      <c r="F135" s="10"/>
    </row>
    <row r="136" spans="1:6" s="59" customFormat="1" x14ac:dyDescent="0.3">
      <c r="A136" s="20"/>
      <c r="B136" s="22"/>
      <c r="C136" s="22"/>
      <c r="D136" s="22"/>
      <c r="E136" s="22"/>
      <c r="F136" s="10"/>
    </row>
    <row r="137" spans="1:6" s="59" customFormat="1" x14ac:dyDescent="0.3">
      <c r="A137" s="20"/>
      <c r="B137" s="22"/>
      <c r="C137" s="22"/>
      <c r="D137" s="22"/>
      <c r="E137" s="22"/>
      <c r="F137" s="10"/>
    </row>
    <row r="138" spans="1:6" s="59" customFormat="1" x14ac:dyDescent="0.3">
      <c r="A138" s="20"/>
      <c r="B138" s="22"/>
      <c r="C138" s="22"/>
      <c r="D138" s="22"/>
      <c r="E138" s="22"/>
      <c r="F138" s="10"/>
    </row>
    <row r="139" spans="1:6" s="59" customFormat="1" x14ac:dyDescent="0.3">
      <c r="A139" s="20"/>
      <c r="B139" s="22"/>
      <c r="C139" s="22"/>
      <c r="D139" s="22"/>
      <c r="E139" s="22"/>
      <c r="F139" s="10"/>
    </row>
    <row r="140" spans="1:6" s="59" customFormat="1" x14ac:dyDescent="0.3">
      <c r="A140" s="20"/>
      <c r="B140" s="22"/>
      <c r="C140" s="22"/>
      <c r="D140" s="22"/>
      <c r="E140" s="22"/>
      <c r="F140" s="10"/>
    </row>
    <row r="141" spans="1:6" s="59" customFormat="1" x14ac:dyDescent="0.3">
      <c r="A141" s="20"/>
      <c r="B141" s="22"/>
      <c r="C141" s="22"/>
      <c r="D141" s="22"/>
      <c r="E141" s="22"/>
      <c r="F141" s="10"/>
    </row>
    <row r="142" spans="1:6" s="59" customFormat="1" x14ac:dyDescent="0.3">
      <c r="A142" s="20"/>
      <c r="B142" s="22"/>
      <c r="C142" s="22"/>
      <c r="D142" s="22"/>
      <c r="E142" s="22"/>
      <c r="F142" s="10"/>
    </row>
    <row r="143" spans="1:6" s="59" customFormat="1" x14ac:dyDescent="0.3">
      <c r="A143" s="18"/>
      <c r="B143" s="19"/>
      <c r="C143" s="19"/>
      <c r="D143" s="19"/>
      <c r="E143" s="19"/>
      <c r="F143" s="1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68"/>
  <sheetViews>
    <sheetView topLeftCell="A19" workbookViewId="0">
      <selection activeCell="I40" sqref="I40"/>
    </sheetView>
  </sheetViews>
  <sheetFormatPr defaultRowHeight="15.6" x14ac:dyDescent="0.3"/>
  <cols>
    <col min="1" max="4" width="12.3984375" customWidth="1"/>
    <col min="5" max="5" width="3.59765625" customWidth="1"/>
    <col min="6" max="6" width="14.3984375" customWidth="1"/>
    <col min="7" max="7" width="11.59765625" customWidth="1"/>
    <col min="8" max="8" width="9.59765625" customWidth="1"/>
    <col min="9" max="9" width="11.59765625" customWidth="1"/>
    <col min="10" max="10" width="4.59765625" customWidth="1"/>
    <col min="11" max="11" width="35.5" bestFit="1" customWidth="1"/>
    <col min="12" max="12" width="33.09765625" bestFit="1" customWidth="1"/>
    <col min="13" max="13" width="14.5" customWidth="1"/>
    <col min="15" max="16" width="11.59765625" customWidth="1"/>
  </cols>
  <sheetData>
    <row r="1" spans="1:14" x14ac:dyDescent="0.3">
      <c r="A1" s="299" t="s">
        <v>12</v>
      </c>
      <c r="B1" s="301"/>
      <c r="F1" s="15" t="s">
        <v>249</v>
      </c>
      <c r="G1" s="16"/>
      <c r="H1" s="16"/>
      <c r="I1" s="17"/>
    </row>
    <row r="2" spans="1:14" x14ac:dyDescent="0.3">
      <c r="A2" s="2">
        <v>1</v>
      </c>
      <c r="B2" s="10" t="s">
        <v>4</v>
      </c>
      <c r="F2" s="20" t="s">
        <v>70</v>
      </c>
      <c r="G2" s="22"/>
      <c r="H2" s="22" t="s">
        <v>31</v>
      </c>
      <c r="I2" s="61">
        <v>1221846.97</v>
      </c>
      <c r="K2" s="222"/>
      <c r="M2" s="152"/>
    </row>
    <row r="3" spans="1:14" x14ac:dyDescent="0.3">
      <c r="A3" s="2">
        <v>2</v>
      </c>
      <c r="B3" s="10" t="s">
        <v>5</v>
      </c>
      <c r="F3" s="20" t="s">
        <v>262</v>
      </c>
      <c r="G3" s="22"/>
      <c r="H3" s="22" t="s">
        <v>263</v>
      </c>
      <c r="I3" s="61">
        <v>371.93</v>
      </c>
      <c r="J3" s="254"/>
      <c r="K3" s="254"/>
      <c r="L3" s="254"/>
    </row>
    <row r="4" spans="1:14" x14ac:dyDescent="0.3">
      <c r="A4" s="2">
        <v>3</v>
      </c>
      <c r="B4" s="10" t="s">
        <v>6</v>
      </c>
      <c r="F4" s="20" t="s">
        <v>87</v>
      </c>
      <c r="G4" s="22"/>
      <c r="H4" s="22" t="s">
        <v>88</v>
      </c>
      <c r="I4" s="61">
        <v>750000</v>
      </c>
      <c r="M4" s="100"/>
    </row>
    <row r="5" spans="1:14" x14ac:dyDescent="0.3">
      <c r="A5" s="2">
        <v>4</v>
      </c>
      <c r="B5" s="10" t="s">
        <v>7</v>
      </c>
      <c r="F5" s="20" t="s">
        <v>69</v>
      </c>
      <c r="G5" s="22"/>
      <c r="H5" s="22" t="s">
        <v>71</v>
      </c>
      <c r="I5" s="61">
        <v>0</v>
      </c>
      <c r="L5" s="100"/>
      <c r="M5" s="100"/>
    </row>
    <row r="6" spans="1:14" x14ac:dyDescent="0.3">
      <c r="A6" s="2">
        <v>5</v>
      </c>
      <c r="B6" s="10" t="s">
        <v>8</v>
      </c>
      <c r="F6" s="20" t="s">
        <v>72</v>
      </c>
      <c r="G6" s="148">
        <v>431260.03</v>
      </c>
      <c r="H6" s="22" t="s">
        <v>73</v>
      </c>
      <c r="I6" s="61">
        <v>0</v>
      </c>
      <c r="L6" s="100"/>
    </row>
    <row r="7" spans="1:14" x14ac:dyDescent="0.3">
      <c r="A7" s="2">
        <v>6</v>
      </c>
      <c r="B7" s="10" t="s">
        <v>9</v>
      </c>
      <c r="F7" s="20" t="s">
        <v>74</v>
      </c>
      <c r="G7" s="148">
        <v>-98344.93</v>
      </c>
      <c r="H7" s="40" t="s">
        <v>75</v>
      </c>
      <c r="I7" s="61">
        <v>0</v>
      </c>
    </row>
    <row r="8" spans="1:14" x14ac:dyDescent="0.3">
      <c r="A8" s="11">
        <v>7</v>
      </c>
      <c r="B8" s="12" t="s">
        <v>10</v>
      </c>
      <c r="F8" s="18"/>
      <c r="G8" s="19"/>
      <c r="H8" s="19" t="s">
        <v>20</v>
      </c>
      <c r="I8" s="173">
        <f>SUM(I2:I7)</f>
        <v>1972218.9</v>
      </c>
      <c r="J8" s="22"/>
      <c r="K8" s="316" t="s">
        <v>130</v>
      </c>
      <c r="L8" s="316"/>
    </row>
    <row r="9" spans="1:14" x14ac:dyDescent="0.3">
      <c r="J9" s="39"/>
      <c r="K9" s="5" t="s">
        <v>131</v>
      </c>
      <c r="L9" s="5" t="s">
        <v>132</v>
      </c>
    </row>
    <row r="10" spans="1:14" x14ac:dyDescent="0.3">
      <c r="A10" s="15" t="s">
        <v>14</v>
      </c>
      <c r="B10" s="16"/>
      <c r="C10" s="16"/>
      <c r="D10" s="17"/>
      <c r="F10" s="15" t="s">
        <v>197</v>
      </c>
      <c r="G10" s="16"/>
      <c r="H10" s="16"/>
      <c r="I10" s="17"/>
      <c r="J10" s="22"/>
    </row>
    <row r="11" spans="1:14" x14ac:dyDescent="0.3">
      <c r="A11" s="20" t="s">
        <v>167</v>
      </c>
      <c r="B11" s="174">
        <v>17330677</v>
      </c>
      <c r="C11" s="30">
        <v>11</v>
      </c>
      <c r="D11" s="264">
        <f>ROUND((B11/C11)/1000,0)*1000</f>
        <v>1576000</v>
      </c>
      <c r="F11" s="20" t="s">
        <v>167</v>
      </c>
      <c r="G11" s="174">
        <v>10923702</v>
      </c>
      <c r="H11" s="30">
        <v>24</v>
      </c>
      <c r="I11" s="119">
        <f>ROUND((G11/H11)/1000,0)*1000</f>
        <v>455000</v>
      </c>
      <c r="J11" s="39"/>
      <c r="K11" s="48" t="s">
        <v>135</v>
      </c>
      <c r="L11" s="48" t="s">
        <v>135</v>
      </c>
    </row>
    <row r="12" spans="1:14" x14ac:dyDescent="0.3">
      <c r="A12" s="18" t="s">
        <v>276</v>
      </c>
      <c r="B12" s="175">
        <v>17757792</v>
      </c>
      <c r="C12" s="29">
        <v>11</v>
      </c>
      <c r="D12" s="265">
        <f>ROUND((B12/C12)/1000,0)*1000</f>
        <v>1614000</v>
      </c>
      <c r="F12" s="20" t="s">
        <v>276</v>
      </c>
      <c r="G12" s="196">
        <v>11196795</v>
      </c>
      <c r="H12" s="30">
        <v>24</v>
      </c>
      <c r="I12" s="119">
        <f>ROUND((G12/H12)/1000,0)*1000</f>
        <v>467000</v>
      </c>
      <c r="J12" s="39"/>
      <c r="K12" s="48" t="s">
        <v>170</v>
      </c>
      <c r="L12" s="48" t="s">
        <v>170</v>
      </c>
    </row>
    <row r="13" spans="1:14" x14ac:dyDescent="0.3">
      <c r="F13" s="20"/>
      <c r="G13" s="99"/>
      <c r="H13" s="30"/>
      <c r="I13" s="31"/>
      <c r="J13" s="39"/>
      <c r="K13" s="289" t="s">
        <v>277</v>
      </c>
      <c r="L13" s="289" t="s">
        <v>280</v>
      </c>
    </row>
    <row r="14" spans="1:14" x14ac:dyDescent="0.3">
      <c r="A14" s="15" t="s">
        <v>265</v>
      </c>
      <c r="B14" s="16"/>
      <c r="C14" s="16"/>
      <c r="D14" s="17"/>
      <c r="F14" s="32" t="s">
        <v>92</v>
      </c>
      <c r="G14" s="99"/>
      <c r="H14" s="30"/>
      <c r="I14" s="31"/>
      <c r="J14" s="34"/>
      <c r="M14" s="48"/>
      <c r="N14" s="48"/>
    </row>
    <row r="15" spans="1:14" s="59" customFormat="1" x14ac:dyDescent="0.3">
      <c r="A15" s="20" t="s">
        <v>167</v>
      </c>
      <c r="B15" s="174">
        <v>880423</v>
      </c>
      <c r="C15" s="30">
        <v>12</v>
      </c>
      <c r="D15" s="264">
        <f>ROUND((B15/C15)/1000,0)*1000</f>
        <v>73000</v>
      </c>
      <c r="F15" s="20" t="s">
        <v>167</v>
      </c>
      <c r="G15" s="174">
        <v>4348463</v>
      </c>
      <c r="H15" s="30">
        <v>24</v>
      </c>
      <c r="I15" s="119">
        <f>ROUND((G15/H15)/1000,0)*1000</f>
        <v>181000</v>
      </c>
      <c r="J15"/>
      <c r="K15" s="48" t="s">
        <v>135</v>
      </c>
      <c r="L15" s="48" t="s">
        <v>135</v>
      </c>
      <c r="M15" s="48"/>
      <c r="N15" s="48"/>
    </row>
    <row r="16" spans="1:14" x14ac:dyDescent="0.3">
      <c r="A16" s="18" t="s">
        <v>276</v>
      </c>
      <c r="B16" s="175">
        <v>880423</v>
      </c>
      <c r="C16" s="29">
        <v>12</v>
      </c>
      <c r="D16" s="265">
        <f>ROUND((B16/C16)/1000,0)*1000</f>
        <v>73000</v>
      </c>
      <c r="F16" s="20"/>
      <c r="G16" s="110">
        <f>G15/G11</f>
        <v>0.3980759453159744</v>
      </c>
      <c r="H16" s="30"/>
      <c r="I16" s="119"/>
      <c r="J16" s="59"/>
      <c r="K16" s="48" t="s">
        <v>170</v>
      </c>
      <c r="L16" s="48" t="s">
        <v>170</v>
      </c>
      <c r="M16" s="48"/>
      <c r="N16" s="48"/>
    </row>
    <row r="17" spans="1:15" x14ac:dyDescent="0.3">
      <c r="D17" s="48"/>
      <c r="F17" s="20" t="s">
        <v>276</v>
      </c>
      <c r="G17" s="196">
        <v>4457175</v>
      </c>
      <c r="H17" s="30">
        <v>24</v>
      </c>
      <c r="I17" s="119">
        <f>ROUND((G17/H17)/1000,0)*1000</f>
        <v>186000</v>
      </c>
      <c r="J17" s="59"/>
      <c r="K17" s="49" t="s">
        <v>278</v>
      </c>
      <c r="L17" s="49" t="s">
        <v>281</v>
      </c>
    </row>
    <row r="18" spans="1:15" x14ac:dyDescent="0.3">
      <c r="A18" s="15" t="s">
        <v>190</v>
      </c>
      <c r="B18" s="87" t="s">
        <v>192</v>
      </c>
      <c r="C18" s="87" t="s">
        <v>128</v>
      </c>
      <c r="D18" s="183" t="s">
        <v>268</v>
      </c>
      <c r="F18" s="20"/>
      <c r="G18" s="110">
        <f>G17/G12</f>
        <v>0.39807596727456385</v>
      </c>
      <c r="H18" s="30"/>
      <c r="I18" s="31"/>
      <c r="J18" s="59"/>
      <c r="L18" s="48" t="s">
        <v>282</v>
      </c>
    </row>
    <row r="19" spans="1:15" x14ac:dyDescent="0.3">
      <c r="A19" s="263" t="s">
        <v>193</v>
      </c>
      <c r="B19" s="99"/>
      <c r="C19" s="266">
        <v>3093528</v>
      </c>
      <c r="D19" s="267">
        <v>3186333</v>
      </c>
      <c r="F19" s="20"/>
      <c r="G19" s="99"/>
      <c r="H19" s="30"/>
      <c r="I19" s="31"/>
      <c r="J19" s="22"/>
      <c r="K19" s="288"/>
      <c r="M19" s="59"/>
      <c r="N19" s="59"/>
      <c r="O19" s="59"/>
    </row>
    <row r="20" spans="1:15" x14ac:dyDescent="0.3">
      <c r="A20" s="23" t="s">
        <v>191</v>
      </c>
      <c r="B20" s="184">
        <f>'Prop Tax'!$C$2</f>
        <v>0</v>
      </c>
      <c r="C20" s="270">
        <f>ROUND(C$19*B20,0)</f>
        <v>0</v>
      </c>
      <c r="D20" s="271">
        <f>ROUND(D$19*B20,0)</f>
        <v>0</v>
      </c>
      <c r="F20" s="32" t="s">
        <v>76</v>
      </c>
      <c r="G20" s="40"/>
      <c r="H20" s="22"/>
      <c r="I20" s="10"/>
      <c r="J20" s="22"/>
      <c r="K20" s="288"/>
      <c r="L20" s="59"/>
      <c r="M20" s="59"/>
      <c r="N20" s="59"/>
    </row>
    <row r="21" spans="1:15" x14ac:dyDescent="0.3">
      <c r="A21" s="23" t="s">
        <v>16</v>
      </c>
      <c r="B21" s="184">
        <f>'Prop Tax'!$C$3</f>
        <v>0</v>
      </c>
      <c r="C21" s="272">
        <f t="shared" ref="C21:C31" si="0">ROUND(C$19*B21,0)</f>
        <v>0</v>
      </c>
      <c r="D21" s="271">
        <f t="shared" ref="D21:D31" si="1">ROUND(D$19*B21,0)</f>
        <v>0</v>
      </c>
      <c r="F21" s="20" t="s">
        <v>167</v>
      </c>
      <c r="G21" s="174">
        <v>846850</v>
      </c>
      <c r="H21" s="25">
        <f>G21/G11</f>
        <v>7.7524084783711603E-2</v>
      </c>
      <c r="I21" s="119">
        <f>ROUND((G21/H11)/1000,0)*1000</f>
        <v>35000</v>
      </c>
      <c r="J21" s="22"/>
      <c r="K21" s="48" t="s">
        <v>135</v>
      </c>
      <c r="L21" s="48" t="s">
        <v>135</v>
      </c>
      <c r="M21" s="59"/>
      <c r="N21" s="59"/>
    </row>
    <row r="22" spans="1:15" x14ac:dyDescent="0.3">
      <c r="A22" s="23" t="s">
        <v>89</v>
      </c>
      <c r="B22" s="184">
        <f>'Prop Tax'!$C$4</f>
        <v>0</v>
      </c>
      <c r="C22" s="272">
        <f t="shared" si="0"/>
        <v>0</v>
      </c>
      <c r="D22" s="271">
        <f t="shared" si="1"/>
        <v>0</v>
      </c>
      <c r="F22" s="20" t="s">
        <v>276</v>
      </c>
      <c r="G22" s="196">
        <v>816522</v>
      </c>
      <c r="H22" s="25">
        <f>G22/G12</f>
        <v>7.2924618160821908E-2</v>
      </c>
      <c r="I22" s="119">
        <f>ROUND((G22/H12)/1000,0)*1000</f>
        <v>34000</v>
      </c>
      <c r="J22" s="22"/>
      <c r="K22" s="48" t="s">
        <v>170</v>
      </c>
      <c r="L22" s="48" t="s">
        <v>170</v>
      </c>
    </row>
    <row r="23" spans="1:15" x14ac:dyDescent="0.3">
      <c r="A23" s="23" t="s">
        <v>17</v>
      </c>
      <c r="B23" s="184">
        <f>'Prop Tax'!$C$5</f>
        <v>0</v>
      </c>
      <c r="C23" s="272">
        <f t="shared" si="0"/>
        <v>0</v>
      </c>
      <c r="D23" s="271">
        <f t="shared" si="1"/>
        <v>0</v>
      </c>
      <c r="F23" s="20"/>
      <c r="G23" s="21"/>
      <c r="H23" s="25"/>
      <c r="I23" s="31"/>
      <c r="J23" s="22"/>
      <c r="K23" s="289" t="s">
        <v>279</v>
      </c>
      <c r="L23" s="49" t="s">
        <v>284</v>
      </c>
      <c r="M23" s="59"/>
      <c r="N23" s="59"/>
      <c r="O23" s="59"/>
    </row>
    <row r="24" spans="1:15" x14ac:dyDescent="0.3">
      <c r="A24" s="23" t="s">
        <v>48</v>
      </c>
      <c r="B24" s="184">
        <f>'Prop Tax'!$C$6</f>
        <v>0</v>
      </c>
      <c r="C24" s="272">
        <f t="shared" si="0"/>
        <v>0</v>
      </c>
      <c r="D24" s="271">
        <f t="shared" si="1"/>
        <v>0</v>
      </c>
      <c r="F24" s="20"/>
      <c r="G24" s="21"/>
      <c r="H24" s="1" t="s">
        <v>129</v>
      </c>
      <c r="I24" s="283">
        <f>SUM(I11,I15,I21)</f>
        <v>671000</v>
      </c>
      <c r="J24" s="22"/>
      <c r="L24" s="48" t="s">
        <v>283</v>
      </c>
      <c r="M24" s="59"/>
      <c r="N24" s="59"/>
      <c r="O24" s="59"/>
    </row>
    <row r="25" spans="1:15" x14ac:dyDescent="0.3">
      <c r="A25" s="23" t="s">
        <v>18</v>
      </c>
      <c r="B25" s="184">
        <f>'Prop Tax'!$C$7</f>
        <v>0</v>
      </c>
      <c r="C25" s="272">
        <f t="shared" si="0"/>
        <v>0</v>
      </c>
      <c r="D25" s="271">
        <f t="shared" si="1"/>
        <v>0</v>
      </c>
      <c r="F25" s="18"/>
      <c r="G25" s="19"/>
      <c r="H25" s="33" t="s">
        <v>195</v>
      </c>
      <c r="I25" s="284">
        <f>SUM(I12,I17,I22)</f>
        <v>687000</v>
      </c>
      <c r="J25" s="22"/>
      <c r="L25" s="59"/>
      <c r="M25" s="59"/>
      <c r="N25" s="59"/>
      <c r="O25" s="59"/>
    </row>
    <row r="26" spans="1:15" x14ac:dyDescent="0.3">
      <c r="A26" s="23" t="s">
        <v>47</v>
      </c>
      <c r="B26" s="184">
        <f>'Prop Tax'!$C$8</f>
        <v>0.35</v>
      </c>
      <c r="C26" s="272">
        <f t="shared" si="0"/>
        <v>1082735</v>
      </c>
      <c r="D26" s="271">
        <f t="shared" si="1"/>
        <v>1115217</v>
      </c>
      <c r="F26" s="22"/>
      <c r="G26" s="22"/>
      <c r="H26" s="90"/>
      <c r="I26" s="59"/>
      <c r="J26" s="22"/>
      <c r="M26" s="59"/>
      <c r="N26" s="59"/>
      <c r="O26" s="59"/>
    </row>
    <row r="27" spans="1:15" x14ac:dyDescent="0.3">
      <c r="A27" s="23" t="s">
        <v>19</v>
      </c>
      <c r="B27" s="184">
        <f>'Prop Tax'!$C$9</f>
        <v>0.4</v>
      </c>
      <c r="C27" s="272">
        <f t="shared" si="0"/>
        <v>1237411</v>
      </c>
      <c r="D27" s="271">
        <f t="shared" si="1"/>
        <v>1274533</v>
      </c>
      <c r="F27" s="15" t="s">
        <v>196</v>
      </c>
      <c r="G27" s="16"/>
      <c r="H27" s="16"/>
      <c r="I27" s="17"/>
      <c r="J27" s="22"/>
      <c r="M27" s="59"/>
      <c r="N27" s="59"/>
    </row>
    <row r="28" spans="1:15" x14ac:dyDescent="0.3">
      <c r="A28" s="23" t="s">
        <v>49</v>
      </c>
      <c r="B28" s="184">
        <f>'Prop Tax'!$C$10</f>
        <v>0.2</v>
      </c>
      <c r="C28" s="272">
        <f t="shared" si="0"/>
        <v>618706</v>
      </c>
      <c r="D28" s="271">
        <f t="shared" si="1"/>
        <v>637267</v>
      </c>
      <c r="F28" s="20" t="s">
        <v>26</v>
      </c>
      <c r="G28" s="174">
        <v>7480510</v>
      </c>
      <c r="H28" s="22"/>
      <c r="I28" s="10"/>
      <c r="J28" s="22"/>
      <c r="L28" s="48" t="s">
        <v>135</v>
      </c>
      <c r="M28" s="59"/>
      <c r="N28" s="59"/>
    </row>
    <row r="29" spans="1:15" x14ac:dyDescent="0.3">
      <c r="A29" s="23" t="s">
        <v>24</v>
      </c>
      <c r="B29" s="184">
        <f>'Prop Tax'!$C$11</f>
        <v>0</v>
      </c>
      <c r="C29" s="272">
        <f t="shared" si="0"/>
        <v>0</v>
      </c>
      <c r="D29" s="271">
        <f t="shared" si="1"/>
        <v>0</v>
      </c>
      <c r="F29" s="20" t="s">
        <v>28</v>
      </c>
      <c r="G29" s="34">
        <f>-G$15</f>
        <v>-4348463</v>
      </c>
      <c r="H29" s="22"/>
      <c r="I29" s="10"/>
      <c r="J29" s="39"/>
      <c r="L29" s="55" t="s">
        <v>286</v>
      </c>
    </row>
    <row r="30" spans="1:15" x14ac:dyDescent="0.3">
      <c r="A30" s="23" t="s">
        <v>134</v>
      </c>
      <c r="B30" s="184">
        <f>'Prop Tax'!$C$12</f>
        <v>0</v>
      </c>
      <c r="C30" s="272">
        <f t="shared" si="0"/>
        <v>0</v>
      </c>
      <c r="D30" s="271">
        <f t="shared" si="1"/>
        <v>0</v>
      </c>
      <c r="F30" s="20" t="s">
        <v>27</v>
      </c>
      <c r="G30" s="34">
        <f>-G$21</f>
        <v>-846850</v>
      </c>
      <c r="H30" s="22"/>
      <c r="I30" s="10"/>
    </row>
    <row r="31" spans="1:15" x14ac:dyDescent="0.3">
      <c r="A31" s="23" t="s">
        <v>133</v>
      </c>
      <c r="B31" s="184">
        <f>'Prop Tax'!$C$13</f>
        <v>0.05</v>
      </c>
      <c r="C31" s="272">
        <f t="shared" si="0"/>
        <v>154676</v>
      </c>
      <c r="D31" s="271">
        <f t="shared" si="1"/>
        <v>159317</v>
      </c>
      <c r="F31" s="18" t="s">
        <v>15</v>
      </c>
      <c r="G31" s="105">
        <f>SUM(G28:G30)</f>
        <v>2285197</v>
      </c>
      <c r="H31" s="19">
        <v>12</v>
      </c>
      <c r="I31" s="265">
        <f>ROUND((G31/H31)/1000,0)*1000</f>
        <v>190000</v>
      </c>
      <c r="J31" s="22"/>
    </row>
    <row r="32" spans="1:15" x14ac:dyDescent="0.3">
      <c r="A32" s="18" t="s">
        <v>32</v>
      </c>
      <c r="B32" s="185">
        <f>SUM(B20:B31)</f>
        <v>1</v>
      </c>
      <c r="C32" s="268">
        <f>SUM(C21:C31)</f>
        <v>3093528</v>
      </c>
      <c r="D32" s="269">
        <f>SUM(D21:D31)</f>
        <v>3186334</v>
      </c>
      <c r="J32" s="39"/>
    </row>
    <row r="33" spans="1:15" x14ac:dyDescent="0.3">
      <c r="A33" s="22"/>
      <c r="B33" s="62"/>
      <c r="C33" s="25"/>
      <c r="D33" s="122"/>
      <c r="F33" s="15" t="s">
        <v>285</v>
      </c>
      <c r="G33" s="16"/>
      <c r="H33" s="16"/>
      <c r="I33" s="17"/>
      <c r="J33" s="39"/>
      <c r="L33" s="59"/>
    </row>
    <row r="34" spans="1:15" x14ac:dyDescent="0.3">
      <c r="A34" s="15" t="s">
        <v>22</v>
      </c>
      <c r="B34" s="16"/>
      <c r="C34" s="16"/>
      <c r="D34" s="17"/>
      <c r="F34" s="20" t="s">
        <v>26</v>
      </c>
      <c r="G34" s="196">
        <v>7790951</v>
      </c>
      <c r="H34" s="22"/>
      <c r="I34" s="10"/>
      <c r="J34" s="39"/>
      <c r="L34" s="48" t="s">
        <v>288</v>
      </c>
    </row>
    <row r="35" spans="1:15" x14ac:dyDescent="0.3">
      <c r="A35" s="20" t="s">
        <v>15</v>
      </c>
      <c r="B35" s="174">
        <v>0</v>
      </c>
      <c r="C35" s="22" t="s">
        <v>250</v>
      </c>
      <c r="D35" s="121"/>
      <c r="F35" s="20" t="s">
        <v>28</v>
      </c>
      <c r="G35" s="34">
        <f>-G$17</f>
        <v>-4457175</v>
      </c>
      <c r="H35" s="22"/>
      <c r="I35" s="10"/>
      <c r="J35" s="39"/>
      <c r="L35" s="291" t="s">
        <v>287</v>
      </c>
    </row>
    <row r="36" spans="1:15" x14ac:dyDescent="0.3">
      <c r="A36" s="20"/>
      <c r="B36" s="245" t="s">
        <v>24</v>
      </c>
      <c r="C36" s="24">
        <v>0</v>
      </c>
      <c r="D36" s="273">
        <f>ROUND($B$35*C36/1000,0)*1000</f>
        <v>0</v>
      </c>
      <c r="F36" s="20" t="s">
        <v>27</v>
      </c>
      <c r="G36" s="34">
        <f>-G$22</f>
        <v>-816522</v>
      </c>
      <c r="H36" s="22"/>
      <c r="I36" s="10"/>
      <c r="J36" s="39"/>
      <c r="K36" s="286"/>
      <c r="L36" s="59">
        <f>ROUND((0.7*G28*(1.025)*(1))+(0.3*G28*(1.08)),0)</f>
        <v>7790951</v>
      </c>
      <c r="M36" s="59"/>
      <c r="N36" s="59"/>
    </row>
    <row r="37" spans="1:15" x14ac:dyDescent="0.3">
      <c r="A37" s="20"/>
      <c r="B37" s="245" t="s">
        <v>16</v>
      </c>
      <c r="C37" s="24">
        <v>1</v>
      </c>
      <c r="D37" s="273">
        <f>ROUND($B$35*C37/1000,0)*1000</f>
        <v>0</v>
      </c>
      <c r="F37" s="18" t="s">
        <v>15</v>
      </c>
      <c r="G37" s="105">
        <f>SUM(G34:G36)</f>
        <v>2517254</v>
      </c>
      <c r="H37" s="19">
        <v>12</v>
      </c>
      <c r="I37" s="265">
        <f>ROUND((G37/H37)/1000,0)*1000</f>
        <v>210000</v>
      </c>
      <c r="J37" s="39"/>
      <c r="L37" s="59"/>
      <c r="M37" s="59"/>
      <c r="N37" s="59"/>
      <c r="O37" s="59"/>
    </row>
    <row r="38" spans="1:15" x14ac:dyDescent="0.3">
      <c r="A38" s="20"/>
      <c r="B38" s="174">
        <v>535000</v>
      </c>
      <c r="C38" s="22" t="s">
        <v>23</v>
      </c>
      <c r="D38" s="124"/>
      <c r="F38" s="59"/>
      <c r="G38" s="59"/>
      <c r="H38" s="59"/>
      <c r="I38" s="59"/>
      <c r="J38" s="39"/>
      <c r="K38" s="48" t="s">
        <v>135</v>
      </c>
      <c r="L38" s="59"/>
      <c r="M38" s="59"/>
      <c r="N38" s="59"/>
      <c r="O38" s="59"/>
    </row>
    <row r="39" spans="1:15" x14ac:dyDescent="0.3">
      <c r="A39" s="20"/>
      <c r="B39" s="26" t="s">
        <v>24</v>
      </c>
      <c r="C39" s="24">
        <v>0.24</v>
      </c>
      <c r="D39" s="274">
        <f>ROUND($B$38*C39/1000,0)*1000</f>
        <v>128000</v>
      </c>
      <c r="F39" s="15" t="s">
        <v>90</v>
      </c>
      <c r="G39" s="16"/>
      <c r="H39" s="16"/>
      <c r="I39" s="17"/>
      <c r="J39" s="9"/>
      <c r="K39" s="49" t="s">
        <v>278</v>
      </c>
      <c r="M39" s="59"/>
      <c r="N39" s="59"/>
    </row>
    <row r="40" spans="1:15" x14ac:dyDescent="0.3">
      <c r="A40" s="18"/>
      <c r="B40" s="27" t="s">
        <v>16</v>
      </c>
      <c r="C40" s="28">
        <v>0.76</v>
      </c>
      <c r="D40" s="275">
        <f>ROUND($B$38*C40/1000,0)*1000</f>
        <v>407000</v>
      </c>
      <c r="F40" s="20" t="s">
        <v>167</v>
      </c>
      <c r="G40" s="174">
        <v>433194</v>
      </c>
      <c r="H40" s="30">
        <v>52</v>
      </c>
      <c r="I40" s="264">
        <f>ROUND((G40/H40)/1000,0)*1000</f>
        <v>8000</v>
      </c>
      <c r="J40" s="9"/>
      <c r="L40" s="48" t="s">
        <v>135</v>
      </c>
      <c r="M40" s="59"/>
      <c r="N40" s="59"/>
    </row>
    <row r="41" spans="1:15" x14ac:dyDescent="0.3">
      <c r="A41" s="22"/>
      <c r="B41" s="26"/>
      <c r="C41" s="24"/>
      <c r="D41" s="48"/>
      <c r="F41" s="18" t="s">
        <v>276</v>
      </c>
      <c r="G41" s="175">
        <v>433194</v>
      </c>
      <c r="H41" s="29">
        <v>52</v>
      </c>
      <c r="I41" s="265">
        <f>ROUND((G41/H41)/1000,0)*1000</f>
        <v>8000</v>
      </c>
      <c r="J41" s="39"/>
      <c r="K41" s="48" t="s">
        <v>135</v>
      </c>
      <c r="L41" s="48" t="s">
        <v>170</v>
      </c>
      <c r="M41" s="59"/>
      <c r="N41" s="59"/>
    </row>
    <row r="42" spans="1:15" x14ac:dyDescent="0.3">
      <c r="A42" s="15" t="s">
        <v>25</v>
      </c>
      <c r="B42" s="16"/>
      <c r="C42" s="16"/>
      <c r="D42" s="120"/>
      <c r="G42" s="9"/>
      <c r="H42" s="14"/>
      <c r="I42" s="9"/>
      <c r="J42" s="39"/>
      <c r="K42" s="49" t="s">
        <v>278</v>
      </c>
      <c r="L42" s="49" t="s">
        <v>278</v>
      </c>
    </row>
    <row r="43" spans="1:15" x14ac:dyDescent="0.3">
      <c r="A43" s="20" t="s">
        <v>167</v>
      </c>
      <c r="B43" s="174">
        <v>333094</v>
      </c>
      <c r="C43" s="22">
        <v>52</v>
      </c>
      <c r="D43" s="264">
        <f>ROUND((B43/C43)/1000,0)*1000</f>
        <v>6000</v>
      </c>
      <c r="F43" s="15" t="s">
        <v>91</v>
      </c>
      <c r="G43" s="35"/>
      <c r="H43" s="36"/>
      <c r="I43" s="37"/>
      <c r="L43" s="59"/>
      <c r="M43" s="59"/>
      <c r="N43" s="59"/>
      <c r="O43" s="59"/>
    </row>
    <row r="44" spans="1:15" x14ac:dyDescent="0.3">
      <c r="A44" s="18" t="s">
        <v>276</v>
      </c>
      <c r="B44" s="175">
        <v>333094</v>
      </c>
      <c r="C44" s="19">
        <v>52</v>
      </c>
      <c r="D44" s="265">
        <f>ROUND((B44/C44)/1000,0)*1000</f>
        <v>6000</v>
      </c>
      <c r="F44" s="56" t="s">
        <v>167</v>
      </c>
      <c r="G44" s="174">
        <v>3620074</v>
      </c>
      <c r="H44" s="123"/>
      <c r="I44" s="121"/>
      <c r="J44" s="22"/>
      <c r="L44" s="48" t="s">
        <v>135</v>
      </c>
      <c r="O44" s="59"/>
    </row>
    <row r="45" spans="1:15" x14ac:dyDescent="0.3">
      <c r="D45" s="48"/>
      <c r="F45" s="56" t="s">
        <v>68</v>
      </c>
      <c r="G45" s="106">
        <f>-I57</f>
        <v>-475000</v>
      </c>
      <c r="H45" s="123"/>
      <c r="I45" s="121"/>
      <c r="J45" s="39"/>
      <c r="K45" s="48" t="s">
        <v>135</v>
      </c>
      <c r="L45" s="59"/>
      <c r="M45" s="59"/>
      <c r="N45" s="59"/>
      <c r="O45" s="59"/>
    </row>
    <row r="46" spans="1:15" x14ac:dyDescent="0.3">
      <c r="A46" s="50"/>
      <c r="B46" s="87" t="s">
        <v>128</v>
      </c>
      <c r="C46" s="87" t="s">
        <v>268</v>
      </c>
      <c r="D46" s="120"/>
      <c r="F46" s="56" t="s">
        <v>136</v>
      </c>
      <c r="G46" s="174">
        <v>-393785</v>
      </c>
      <c r="H46" s="123"/>
      <c r="I46" s="121"/>
      <c r="J46" s="39"/>
      <c r="K46" s="48" t="s">
        <v>170</v>
      </c>
      <c r="L46" s="48" t="s">
        <v>135</v>
      </c>
      <c r="M46" s="59"/>
      <c r="N46" s="59"/>
    </row>
    <row r="47" spans="1:15" x14ac:dyDescent="0.3">
      <c r="A47" s="18" t="s">
        <v>32</v>
      </c>
      <c r="B47" s="105">
        <f>SUM(B11,B15,C19,B35,B38,B43)</f>
        <v>22172722</v>
      </c>
      <c r="C47" s="105">
        <f>SUM(B12,B16,D19,B35,B38,B44)</f>
        <v>22692642</v>
      </c>
      <c r="D47" s="12"/>
      <c r="E47" s="48"/>
      <c r="F47" s="56" t="s">
        <v>15</v>
      </c>
      <c r="G47" s="106">
        <f>SUM(G44:G46)</f>
        <v>2751289</v>
      </c>
      <c r="H47" s="123">
        <v>52</v>
      </c>
      <c r="I47" s="274">
        <f>ROUND((G47/H47)/1000,0)*1000</f>
        <v>53000</v>
      </c>
      <c r="J47" s="39"/>
      <c r="K47" s="49" t="s">
        <v>278</v>
      </c>
      <c r="L47" s="59"/>
      <c r="M47" s="59"/>
      <c r="N47" s="59"/>
      <c r="O47" s="59"/>
    </row>
    <row r="48" spans="1:15" x14ac:dyDescent="0.3">
      <c r="E48" s="48"/>
      <c r="F48" s="56"/>
      <c r="G48" s="99"/>
      <c r="H48" s="123"/>
      <c r="I48" s="121"/>
      <c r="J48" s="39"/>
      <c r="L48" s="149"/>
      <c r="M48" s="59"/>
      <c r="N48" s="59"/>
      <c r="O48" s="59"/>
    </row>
    <row r="49" spans="1:15" x14ac:dyDescent="0.3">
      <c r="A49" s="176"/>
      <c r="B49" s="89" t="s">
        <v>169</v>
      </c>
      <c r="C49" s="163"/>
      <c r="D49" s="163"/>
      <c r="E49" s="48"/>
      <c r="F49" s="56" t="s">
        <v>276</v>
      </c>
      <c r="G49" s="196">
        <v>3620074</v>
      </c>
      <c r="H49" s="123"/>
      <c r="I49" s="124"/>
      <c r="J49" s="39"/>
      <c r="L49" s="48" t="s">
        <v>170</v>
      </c>
      <c r="M49" s="59"/>
      <c r="N49" s="59"/>
      <c r="O49" s="59"/>
    </row>
    <row r="50" spans="1:15" x14ac:dyDescent="0.3">
      <c r="A50" s="49"/>
      <c r="B50" s="89" t="s">
        <v>168</v>
      </c>
      <c r="C50" s="163"/>
      <c r="D50" s="163"/>
      <c r="E50" s="48"/>
      <c r="F50" s="56" t="s">
        <v>68</v>
      </c>
      <c r="G50" s="106">
        <f>-I57</f>
        <v>-475000</v>
      </c>
      <c r="H50" s="123"/>
      <c r="I50" s="121"/>
      <c r="J50" s="39"/>
      <c r="L50" s="49" t="s">
        <v>278</v>
      </c>
      <c r="M50" s="59"/>
      <c r="N50" s="59"/>
      <c r="O50" s="59"/>
    </row>
    <row r="51" spans="1:15" x14ac:dyDescent="0.3">
      <c r="A51" s="195"/>
      <c r="B51" s="163" t="s">
        <v>194</v>
      </c>
      <c r="C51" s="163"/>
      <c r="D51" s="163"/>
      <c r="E51" s="48"/>
      <c r="F51" s="56" t="s">
        <v>136</v>
      </c>
      <c r="G51" s="196">
        <v>-393785</v>
      </c>
      <c r="H51" s="123"/>
      <c r="I51" s="121"/>
      <c r="J51" s="39"/>
      <c r="L51" s="48" t="s">
        <v>170</v>
      </c>
      <c r="M51" s="59"/>
      <c r="N51" s="59"/>
      <c r="O51" s="59"/>
    </row>
    <row r="52" spans="1:15" x14ac:dyDescent="0.3">
      <c r="A52" s="163"/>
      <c r="B52" s="163"/>
      <c r="C52" s="163"/>
      <c r="D52" s="163"/>
      <c r="E52" s="48"/>
      <c r="F52" s="57" t="s">
        <v>15</v>
      </c>
      <c r="G52" s="292">
        <f>SUM(G49:G51)</f>
        <v>2751289</v>
      </c>
      <c r="H52" s="125">
        <v>52</v>
      </c>
      <c r="I52" s="275">
        <f>ROUND((G52/H52)/1000,0)*1000</f>
        <v>53000</v>
      </c>
      <c r="J52" s="39"/>
      <c r="L52" s="49" t="s">
        <v>278</v>
      </c>
      <c r="M52" s="59"/>
      <c r="N52" s="59"/>
      <c r="O52" s="59"/>
    </row>
    <row r="53" spans="1:15" s="59" customFormat="1" x14ac:dyDescent="0.3">
      <c r="A53" s="163"/>
      <c r="B53" s="163"/>
      <c r="C53" s="163"/>
      <c r="D53" s="163"/>
      <c r="E53" s="48"/>
      <c r="F53" s="40"/>
      <c r="G53" s="99"/>
      <c r="H53" s="123"/>
      <c r="I53" s="48"/>
      <c r="J53" s="39"/>
      <c r="K53"/>
      <c r="L53" s="48"/>
      <c r="O53"/>
    </row>
    <row r="54" spans="1:15" x14ac:dyDescent="0.3">
      <c r="A54" s="163"/>
      <c r="B54" s="163"/>
      <c r="C54" s="163"/>
      <c r="D54" s="163"/>
      <c r="E54" s="48"/>
      <c r="F54" s="88" t="s">
        <v>290</v>
      </c>
      <c r="G54" s="126"/>
      <c r="H54" s="127"/>
      <c r="I54" s="120"/>
      <c r="L54" s="48"/>
      <c r="M54" s="59"/>
      <c r="N54" s="59"/>
    </row>
    <row r="55" spans="1:15" s="59" customFormat="1" x14ac:dyDescent="0.3">
      <c r="A55" s="163"/>
      <c r="B55" s="163"/>
      <c r="C55" s="163"/>
      <c r="D55" s="163"/>
      <c r="E55" s="48"/>
      <c r="F55" s="56" t="s">
        <v>54</v>
      </c>
      <c r="G55" s="174">
        <v>475000</v>
      </c>
      <c r="H55" s="123">
        <v>1</v>
      </c>
      <c r="I55" s="264">
        <f>G55*H55</f>
        <v>475000</v>
      </c>
      <c r="J55"/>
      <c r="L55" t="s">
        <v>289</v>
      </c>
      <c r="O55"/>
    </row>
    <row r="56" spans="1:15" x14ac:dyDescent="0.3">
      <c r="A56" s="163"/>
      <c r="B56" s="163"/>
      <c r="C56" s="163"/>
      <c r="D56" s="163"/>
      <c r="E56" s="48"/>
      <c r="F56" s="56" t="s">
        <v>50</v>
      </c>
      <c r="G56" s="174">
        <v>0</v>
      </c>
      <c r="H56" s="123">
        <v>1</v>
      </c>
      <c r="I56" s="264">
        <f>G56*H56</f>
        <v>0</v>
      </c>
      <c r="K56" s="59"/>
      <c r="L56" s="163" t="s">
        <v>289</v>
      </c>
      <c r="M56" s="91"/>
      <c r="N56" s="59"/>
    </row>
    <row r="57" spans="1:15" x14ac:dyDescent="0.3">
      <c r="A57" s="163"/>
      <c r="B57" s="163"/>
      <c r="C57" s="163"/>
      <c r="D57" s="163"/>
      <c r="E57" s="48"/>
      <c r="F57" s="57" t="s">
        <v>67</v>
      </c>
      <c r="G57" s="104"/>
      <c r="H57" s="125"/>
      <c r="I57" s="128">
        <f>ROUND(SUM(I55:I56)/1000,0)*1000</f>
        <v>475000</v>
      </c>
      <c r="K57" s="59"/>
    </row>
    <row r="58" spans="1:15" s="59" customFormat="1" x14ac:dyDescent="0.3">
      <c r="A58"/>
      <c r="B58"/>
      <c r="C58"/>
      <c r="D58"/>
      <c r="E58" s="48"/>
      <c r="F58"/>
      <c r="G58" s="1"/>
      <c r="H58"/>
      <c r="I58"/>
      <c r="J58"/>
      <c r="K58"/>
      <c r="L58"/>
      <c r="M58"/>
      <c r="N58"/>
      <c r="O58"/>
    </row>
    <row r="59" spans="1:15" x14ac:dyDescent="0.3">
      <c r="A59" s="112"/>
      <c r="B59" s="112"/>
      <c r="C59" s="112"/>
      <c r="F59" s="115" t="s">
        <v>128</v>
      </c>
      <c r="G59" s="87" t="s">
        <v>268</v>
      </c>
      <c r="H59" s="16"/>
      <c r="I59" s="17"/>
    </row>
    <row r="60" spans="1:15" x14ac:dyDescent="0.3">
      <c r="F60" s="116">
        <f>SUM(G11,G15,G21,G31,G40,G47,G55:G56)</f>
        <v>22063695</v>
      </c>
      <c r="G60" s="117">
        <f>SUM(G12,G17,G22,G37,G41,G52,G55:G56)</f>
        <v>22647229</v>
      </c>
      <c r="H60" s="19" t="s">
        <v>32</v>
      </c>
      <c r="I60" s="12"/>
      <c r="K60" s="59"/>
      <c r="O60" s="59"/>
    </row>
    <row r="61" spans="1:15" x14ac:dyDescent="0.3">
      <c r="F61" s="98"/>
      <c r="G61" s="9"/>
      <c r="H61" s="98"/>
      <c r="I61" s="98"/>
    </row>
    <row r="62" spans="1:15" x14ac:dyDescent="0.3">
      <c r="F62" s="98"/>
      <c r="G62" s="98"/>
      <c r="H62" s="98"/>
      <c r="I62" s="98"/>
      <c r="O62" s="59"/>
    </row>
    <row r="65" spans="8:15" x14ac:dyDescent="0.3">
      <c r="O65" s="59"/>
    </row>
    <row r="67" spans="8:15" x14ac:dyDescent="0.3">
      <c r="H67" s="59"/>
    </row>
    <row r="68" spans="8:15" x14ac:dyDescent="0.3">
      <c r="H68" s="59"/>
    </row>
  </sheetData>
  <sortState ref="F38:G39">
    <sortCondition descending="1" ref="F38:F39"/>
  </sortState>
  <mergeCells count="2">
    <mergeCell ref="A1:B1"/>
    <mergeCell ref="K8:L8"/>
  </mergeCells>
  <printOptions headings="1" gridLine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23"/>
  <sheetViews>
    <sheetView workbookViewId="0">
      <selection activeCell="A25" sqref="A25"/>
    </sheetView>
  </sheetViews>
  <sheetFormatPr defaultRowHeight="15.6" x14ac:dyDescent="0.3"/>
  <cols>
    <col min="1" max="1" width="17.5" bestFit="1" customWidth="1"/>
    <col min="2" max="5" width="14.69921875" style="9" customWidth="1"/>
  </cols>
  <sheetData>
    <row r="1" spans="1:6" x14ac:dyDescent="0.3">
      <c r="A1" s="5" t="s">
        <v>131</v>
      </c>
      <c r="B1" s="317" t="s">
        <v>171</v>
      </c>
      <c r="C1" s="318"/>
      <c r="D1" s="317" t="s">
        <v>172</v>
      </c>
      <c r="E1" s="318"/>
    </row>
    <row r="2" spans="1:6" x14ac:dyDescent="0.3">
      <c r="B2" s="187" t="s">
        <v>173</v>
      </c>
      <c r="C2" s="188" t="s">
        <v>174</v>
      </c>
      <c r="D2" s="187" t="s">
        <v>173</v>
      </c>
      <c r="E2" s="188" t="s">
        <v>174</v>
      </c>
    </row>
    <row r="3" spans="1:6" x14ac:dyDescent="0.3">
      <c r="A3" t="s">
        <v>175</v>
      </c>
      <c r="B3" s="189">
        <v>2951023</v>
      </c>
      <c r="C3" s="190">
        <f>203400+3500</f>
        <v>206900</v>
      </c>
      <c r="D3" s="189">
        <v>2951023</v>
      </c>
      <c r="E3" s="190">
        <f>204000+4000</f>
        <v>208000</v>
      </c>
    </row>
    <row r="4" spans="1:6" x14ac:dyDescent="0.3">
      <c r="A4" t="s">
        <v>176</v>
      </c>
      <c r="B4" s="189">
        <f>15112701+635880+1073452</f>
        <v>16822033</v>
      </c>
      <c r="C4" s="190">
        <f>43600</f>
        <v>43600</v>
      </c>
      <c r="D4" s="189">
        <f>15295689+644346+1073452</f>
        <v>17013487</v>
      </c>
      <c r="E4" s="190">
        <v>20000</v>
      </c>
      <c r="F4" t="s">
        <v>177</v>
      </c>
    </row>
    <row r="5" spans="1:6" x14ac:dyDescent="0.3">
      <c r="A5" t="s">
        <v>178</v>
      </c>
      <c r="B5" s="189">
        <f>922627+94487</f>
        <v>1017114</v>
      </c>
      <c r="C5" s="190"/>
      <c r="D5" s="189">
        <f>922527+87362</f>
        <v>1009889</v>
      </c>
      <c r="E5" s="190"/>
    </row>
    <row r="6" spans="1:6" x14ac:dyDescent="0.3">
      <c r="A6" t="s">
        <v>179</v>
      </c>
      <c r="B6" s="189">
        <v>555000</v>
      </c>
      <c r="C6" s="190">
        <f>99000</f>
        <v>99000</v>
      </c>
      <c r="D6" s="189">
        <v>555000</v>
      </c>
      <c r="E6" s="190">
        <f>98000+4000</f>
        <v>102000</v>
      </c>
    </row>
    <row r="7" spans="1:6" x14ac:dyDescent="0.3">
      <c r="A7" t="s">
        <v>180</v>
      </c>
      <c r="B7" s="189"/>
      <c r="C7" s="190">
        <v>47594</v>
      </c>
      <c r="D7" s="189"/>
      <c r="E7" s="190">
        <v>39900</v>
      </c>
      <c r="F7" t="s">
        <v>181</v>
      </c>
    </row>
    <row r="8" spans="1:6" x14ac:dyDescent="0.3">
      <c r="A8" s="1" t="s">
        <v>32</v>
      </c>
      <c r="B8" s="191">
        <f>SUM(B3:B7)</f>
        <v>21345170</v>
      </c>
      <c r="C8" s="192">
        <f>SUM(C3:C7)</f>
        <v>397094</v>
      </c>
      <c r="D8" s="193">
        <f>SUM(D3:D7)</f>
        <v>21529399</v>
      </c>
      <c r="E8" s="194">
        <f>SUM(E3:E7)</f>
        <v>369900</v>
      </c>
    </row>
    <row r="9" spans="1:6" x14ac:dyDescent="0.3">
      <c r="B9" s="319">
        <f>SUM(B8:C8)</f>
        <v>21742264</v>
      </c>
      <c r="C9" s="320"/>
      <c r="D9" s="319">
        <f>SUM(D8:E8)</f>
        <v>21899299</v>
      </c>
      <c r="E9" s="320"/>
    </row>
    <row r="10" spans="1:6" x14ac:dyDescent="0.3">
      <c r="B10" s="96"/>
      <c r="C10" s="96"/>
      <c r="D10" s="96"/>
      <c r="E10" s="96"/>
    </row>
    <row r="11" spans="1:6" x14ac:dyDescent="0.3">
      <c r="B11" s="96"/>
      <c r="C11" s="96"/>
      <c r="D11" s="96"/>
      <c r="E11" s="96"/>
    </row>
    <row r="12" spans="1:6" x14ac:dyDescent="0.3">
      <c r="B12" s="96"/>
      <c r="C12" s="96"/>
      <c r="D12" s="96"/>
      <c r="E12" s="96"/>
    </row>
    <row r="13" spans="1:6" x14ac:dyDescent="0.3">
      <c r="B13" s="96"/>
      <c r="C13" s="96"/>
      <c r="D13" s="96"/>
      <c r="E13" s="96"/>
    </row>
    <row r="14" spans="1:6" x14ac:dyDescent="0.3">
      <c r="B14" s="96"/>
      <c r="C14" s="96"/>
      <c r="D14" s="96"/>
      <c r="E14" s="96"/>
    </row>
    <row r="15" spans="1:6" x14ac:dyDescent="0.3">
      <c r="B15" s="96"/>
      <c r="C15" s="96"/>
      <c r="D15" s="96"/>
      <c r="E15" s="96"/>
    </row>
    <row r="16" spans="1:6" x14ac:dyDescent="0.3">
      <c r="B16" s="96"/>
      <c r="C16" s="96"/>
      <c r="D16" s="96"/>
      <c r="E16" s="96"/>
    </row>
    <row r="17" spans="2:5" x14ac:dyDescent="0.3">
      <c r="B17" s="96"/>
      <c r="C17" s="96"/>
      <c r="D17" s="96"/>
      <c r="E17" s="96"/>
    </row>
    <row r="18" spans="2:5" x14ac:dyDescent="0.3">
      <c r="B18" s="96"/>
      <c r="C18" s="96"/>
      <c r="D18" s="96"/>
      <c r="E18" s="96"/>
    </row>
    <row r="19" spans="2:5" x14ac:dyDescent="0.3">
      <c r="B19" s="96"/>
      <c r="C19" s="96"/>
      <c r="D19" s="96"/>
      <c r="E19" s="96"/>
    </row>
    <row r="20" spans="2:5" x14ac:dyDescent="0.3">
      <c r="B20" s="96"/>
      <c r="C20" s="96"/>
      <c r="D20" s="96"/>
      <c r="E20" s="96"/>
    </row>
    <row r="21" spans="2:5" x14ac:dyDescent="0.3">
      <c r="B21" s="96"/>
      <c r="C21" s="96"/>
      <c r="D21" s="96"/>
      <c r="E21" s="96"/>
    </row>
    <row r="22" spans="2:5" x14ac:dyDescent="0.3">
      <c r="B22" s="96"/>
      <c r="C22" s="96"/>
      <c r="D22" s="96"/>
      <c r="E22" s="96"/>
    </row>
    <row r="23" spans="2:5" x14ac:dyDescent="0.3">
      <c r="B23" s="96"/>
      <c r="C23" s="96"/>
      <c r="D23" s="96"/>
      <c r="E23" s="96"/>
    </row>
  </sheetData>
  <mergeCells count="4">
    <mergeCell ref="B1:C1"/>
    <mergeCell ref="D1:E1"/>
    <mergeCell ref="B9:C9"/>
    <mergeCell ref="D9:E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I49"/>
  <sheetViews>
    <sheetView topLeftCell="A40" workbookViewId="0">
      <selection activeCell="F14" sqref="F14"/>
    </sheetView>
  </sheetViews>
  <sheetFormatPr defaultRowHeight="15.6" x14ac:dyDescent="0.3"/>
  <cols>
    <col min="2" max="2" width="10.09765625" bestFit="1" customWidth="1"/>
    <col min="3" max="3" width="13.69921875" customWidth="1"/>
    <col min="4" max="4" width="3.69921875" customWidth="1"/>
    <col min="5" max="9" width="13.69921875" customWidth="1"/>
  </cols>
  <sheetData>
    <row r="1" spans="1:6" s="163" customFormat="1" x14ac:dyDescent="0.3">
      <c r="A1" s="15" t="s">
        <v>189</v>
      </c>
      <c r="B1" s="16"/>
      <c r="C1" s="17"/>
      <c r="E1" s="42" t="s">
        <v>113</v>
      </c>
      <c r="F1" s="42" t="s">
        <v>86</v>
      </c>
    </row>
    <row r="2" spans="1:6" s="163" customFormat="1" x14ac:dyDescent="0.3">
      <c r="A2" s="51" t="s">
        <v>35</v>
      </c>
      <c r="B2" s="179"/>
      <c r="C2" s="181">
        <f>B2/B$31</f>
        <v>0</v>
      </c>
      <c r="E2" s="180">
        <f>C18</f>
        <v>0</v>
      </c>
      <c r="F2" s="41">
        <f>C35</f>
        <v>0</v>
      </c>
    </row>
    <row r="3" spans="1:6" s="163" customFormat="1" x14ac:dyDescent="0.3">
      <c r="A3" s="53" t="s">
        <v>36</v>
      </c>
      <c r="B3" s="179"/>
      <c r="C3" s="181">
        <f>B3/B$31</f>
        <v>0</v>
      </c>
      <c r="E3" s="180">
        <f t="shared" ref="E3:E13" si="0">C19</f>
        <v>0</v>
      </c>
      <c r="F3" s="41">
        <f t="shared" ref="F3:F13" si="1">C36</f>
        <v>0</v>
      </c>
    </row>
    <row r="4" spans="1:6" s="163" customFormat="1" x14ac:dyDescent="0.3">
      <c r="A4" s="53" t="s">
        <v>37</v>
      </c>
      <c r="B4" s="179"/>
      <c r="C4" s="181">
        <f>B4/B$31</f>
        <v>0</v>
      </c>
      <c r="E4" s="180">
        <f t="shared" si="0"/>
        <v>0</v>
      </c>
      <c r="F4" s="41">
        <f t="shared" si="1"/>
        <v>0</v>
      </c>
    </row>
    <row r="5" spans="1:6" s="163" customFormat="1" x14ac:dyDescent="0.3">
      <c r="A5" s="53" t="s">
        <v>38</v>
      </c>
      <c r="B5" s="179"/>
      <c r="C5" s="181">
        <f>B5/B$31</f>
        <v>0</v>
      </c>
      <c r="E5" s="180">
        <f t="shared" si="0"/>
        <v>0</v>
      </c>
      <c r="F5" s="41">
        <f t="shared" si="1"/>
        <v>0</v>
      </c>
    </row>
    <row r="6" spans="1:6" s="163" customFormat="1" x14ac:dyDescent="0.3">
      <c r="A6" s="53" t="s">
        <v>39</v>
      </c>
      <c r="B6" s="179"/>
      <c r="C6" s="181">
        <f>B6/B$31</f>
        <v>0</v>
      </c>
      <c r="E6" s="180">
        <f t="shared" si="0"/>
        <v>0</v>
      </c>
      <c r="F6" s="41">
        <f t="shared" si="1"/>
        <v>0</v>
      </c>
    </row>
    <row r="7" spans="1:6" s="163" customFormat="1" x14ac:dyDescent="0.3">
      <c r="A7" s="53" t="s">
        <v>40</v>
      </c>
      <c r="B7" s="179"/>
      <c r="C7" s="181">
        <v>0</v>
      </c>
      <c r="E7" s="180">
        <f t="shared" si="0"/>
        <v>2.4670577219667325E-2</v>
      </c>
      <c r="F7" s="41">
        <f t="shared" si="1"/>
        <v>1.731796909951102E-2</v>
      </c>
    </row>
    <row r="8" spans="1:6" s="163" customFormat="1" x14ac:dyDescent="0.3">
      <c r="A8" s="53" t="s">
        <v>41</v>
      </c>
      <c r="B8" s="179"/>
      <c r="C8" s="181">
        <v>0.35</v>
      </c>
      <c r="E8" s="180">
        <f t="shared" si="0"/>
        <v>0.35251227813618952</v>
      </c>
      <c r="F8" s="41">
        <f t="shared" si="1"/>
        <v>0.38837590030924685</v>
      </c>
    </row>
    <row r="9" spans="1:6" s="163" customFormat="1" x14ac:dyDescent="0.3">
      <c r="A9" s="53" t="s">
        <v>42</v>
      </c>
      <c r="B9" s="179"/>
      <c r="C9" s="181">
        <v>0.4</v>
      </c>
      <c r="E9" s="180">
        <f t="shared" si="0"/>
        <v>0.46938627454916032</v>
      </c>
      <c r="F9" s="41">
        <f t="shared" si="1"/>
        <v>0.25214541331210227</v>
      </c>
    </row>
    <row r="10" spans="1:6" s="163" customFormat="1" x14ac:dyDescent="0.3">
      <c r="A10" s="53" t="s">
        <v>43</v>
      </c>
      <c r="B10" s="179"/>
      <c r="C10" s="181">
        <v>0.2</v>
      </c>
      <c r="E10" s="180">
        <f t="shared" si="0"/>
        <v>0.14900984199905218</v>
      </c>
      <c r="F10" s="41">
        <f t="shared" si="1"/>
        <v>0.30024952584395148</v>
      </c>
    </row>
    <row r="11" spans="1:6" s="163" customFormat="1" x14ac:dyDescent="0.3">
      <c r="A11" s="53" t="s">
        <v>44</v>
      </c>
      <c r="B11" s="179"/>
      <c r="C11" s="181">
        <f>B11/B$31</f>
        <v>0</v>
      </c>
      <c r="E11" s="180">
        <f t="shared" si="0"/>
        <v>4.4201337544411733E-3</v>
      </c>
      <c r="F11" s="41">
        <f t="shared" si="1"/>
        <v>0</v>
      </c>
    </row>
    <row r="12" spans="1:6" s="163" customFormat="1" x14ac:dyDescent="0.3">
      <c r="A12" s="53" t="s">
        <v>45</v>
      </c>
      <c r="B12" s="179"/>
      <c r="C12" s="181">
        <f>B12/B$31</f>
        <v>0</v>
      </c>
      <c r="E12" s="180">
        <f t="shared" si="0"/>
        <v>8.9434148939930669E-7</v>
      </c>
      <c r="F12" s="41">
        <f t="shared" si="1"/>
        <v>0</v>
      </c>
    </row>
    <row r="13" spans="1:6" s="163" customFormat="1" x14ac:dyDescent="0.3">
      <c r="A13" s="53" t="s">
        <v>46</v>
      </c>
      <c r="B13" s="179"/>
      <c r="C13" s="181">
        <v>0.05</v>
      </c>
      <c r="E13" s="180">
        <f t="shared" si="0"/>
        <v>0</v>
      </c>
      <c r="F13" s="41">
        <f t="shared" si="1"/>
        <v>4.1911191435188233E-2</v>
      </c>
    </row>
    <row r="14" spans="1:6" s="163" customFormat="1" x14ac:dyDescent="0.3">
      <c r="A14" s="18"/>
      <c r="B14" s="19"/>
      <c r="C14" s="182">
        <f>SUM(C2:C13)</f>
        <v>1</v>
      </c>
      <c r="E14" s="180">
        <f>SUM(E2:E13)</f>
        <v>0.99999999999999989</v>
      </c>
      <c r="F14" s="180">
        <f>SUM(F2:F13)</f>
        <v>0.99999999999999978</v>
      </c>
    </row>
    <row r="15" spans="1:6" s="163" customFormat="1" x14ac:dyDescent="0.3"/>
    <row r="16" spans="1:6" s="163" customFormat="1" x14ac:dyDescent="0.3"/>
    <row r="17" spans="1:9" x14ac:dyDescent="0.3">
      <c r="A17" s="15" t="s">
        <v>188</v>
      </c>
      <c r="B17" s="16"/>
      <c r="C17" s="17"/>
      <c r="D17" s="163"/>
      <c r="E17" s="42" t="s">
        <v>182</v>
      </c>
      <c r="F17" s="42" t="s">
        <v>184</v>
      </c>
      <c r="G17" s="42" t="s">
        <v>185</v>
      </c>
      <c r="H17" s="42" t="s">
        <v>186</v>
      </c>
      <c r="I17" s="42" t="s">
        <v>187</v>
      </c>
    </row>
    <row r="18" spans="1:9" x14ac:dyDescent="0.3">
      <c r="A18" s="51" t="s">
        <v>35</v>
      </c>
      <c r="B18" s="179">
        <f>SUM(E18:I18)</f>
        <v>0</v>
      </c>
      <c r="C18" s="52">
        <f>B18/B$31</f>
        <v>0</v>
      </c>
      <c r="D18" s="163"/>
      <c r="E18" s="96">
        <v>0</v>
      </c>
      <c r="F18" s="96">
        <v>0</v>
      </c>
      <c r="G18" s="96">
        <v>0</v>
      </c>
      <c r="H18" s="96">
        <v>0</v>
      </c>
      <c r="I18" s="96">
        <v>0</v>
      </c>
    </row>
    <row r="19" spans="1:9" s="163" customFormat="1" x14ac:dyDescent="0.3">
      <c r="A19" s="53" t="s">
        <v>36</v>
      </c>
      <c r="B19" s="179">
        <f t="shared" ref="B19:B29" si="2">SUM(E19:I19)</f>
        <v>0</v>
      </c>
      <c r="C19" s="52">
        <f t="shared" ref="C19:C28" si="3">B19/B$31</f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</row>
    <row r="20" spans="1:9" s="163" customFormat="1" x14ac:dyDescent="0.3">
      <c r="A20" s="53" t="s">
        <v>37</v>
      </c>
      <c r="B20" s="179">
        <f t="shared" si="2"/>
        <v>0</v>
      </c>
      <c r="C20" s="52">
        <f t="shared" si="3"/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</row>
    <row r="21" spans="1:9" s="163" customFormat="1" x14ac:dyDescent="0.3">
      <c r="A21" s="53" t="s">
        <v>38</v>
      </c>
      <c r="B21" s="179">
        <f t="shared" si="2"/>
        <v>0</v>
      </c>
      <c r="C21" s="52">
        <f t="shared" si="3"/>
        <v>0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</row>
    <row r="22" spans="1:9" s="163" customFormat="1" x14ac:dyDescent="0.3">
      <c r="A22" s="53" t="s">
        <v>39</v>
      </c>
      <c r="B22" s="179">
        <f t="shared" si="2"/>
        <v>0</v>
      </c>
      <c r="C22" s="52">
        <f t="shared" si="3"/>
        <v>0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</row>
    <row r="23" spans="1:9" s="163" customFormat="1" x14ac:dyDescent="0.3">
      <c r="A23" s="53" t="s">
        <v>40</v>
      </c>
      <c r="B23" s="179">
        <f t="shared" si="2"/>
        <v>67859.56</v>
      </c>
      <c r="C23" s="52">
        <f t="shared" si="3"/>
        <v>2.4670577219667325E-2</v>
      </c>
      <c r="E23" s="96">
        <f>67859.56</f>
        <v>67859.56</v>
      </c>
      <c r="F23" s="96">
        <v>0</v>
      </c>
      <c r="G23" s="96">
        <v>0</v>
      </c>
      <c r="H23" s="96">
        <v>0</v>
      </c>
      <c r="I23" s="96">
        <v>0</v>
      </c>
    </row>
    <row r="24" spans="1:9" s="163" customFormat="1" x14ac:dyDescent="0.3">
      <c r="A24" s="53" t="s">
        <v>41</v>
      </c>
      <c r="B24" s="179">
        <f t="shared" si="2"/>
        <v>969629.84999999986</v>
      </c>
      <c r="C24" s="52">
        <f t="shared" si="3"/>
        <v>0.35251227813618952</v>
      </c>
      <c r="E24" s="96">
        <f>152661.56+37671.96</f>
        <v>190333.52</v>
      </c>
      <c r="F24" s="96">
        <f>2022.81+40587.85</f>
        <v>42610.659999999996</v>
      </c>
      <c r="G24" s="96">
        <f>255156.53+377141.96</f>
        <v>632298.49</v>
      </c>
      <c r="H24" s="96">
        <f>16186.09+21866.04+22262.32</f>
        <v>60314.450000000004</v>
      </c>
      <c r="I24" s="96">
        <f>5699.97+31188.27+7184.49</f>
        <v>44072.729999999996</v>
      </c>
    </row>
    <row r="25" spans="1:9" s="163" customFormat="1" x14ac:dyDescent="0.3">
      <c r="A25" s="53" t="s">
        <v>42</v>
      </c>
      <c r="B25" s="179">
        <f t="shared" si="2"/>
        <v>1291106.6399999999</v>
      </c>
      <c r="C25" s="52">
        <f t="shared" si="3"/>
        <v>0.46938627454916032</v>
      </c>
      <c r="E25" s="96">
        <f>203986.26+284690.04</f>
        <v>488676.3</v>
      </c>
      <c r="F25" s="96">
        <f>11343.47+48317.69+109212.4+51663.22+90722.81</f>
        <v>311259.58999999997</v>
      </c>
      <c r="G25" s="96">
        <f>646564.13-275305.12</f>
        <v>371259.01</v>
      </c>
      <c r="H25" s="96">
        <f>30083.85+25163.2</f>
        <v>55247.05</v>
      </c>
      <c r="I25" s="96">
        <f>38679.37+25985.32</f>
        <v>64664.69</v>
      </c>
    </row>
    <row r="26" spans="1:9" s="163" customFormat="1" x14ac:dyDescent="0.3">
      <c r="A26" s="53" t="s">
        <v>43</v>
      </c>
      <c r="B26" s="179">
        <f t="shared" si="2"/>
        <v>409870.52</v>
      </c>
      <c r="C26" s="52">
        <f t="shared" si="3"/>
        <v>0.14900984199905218</v>
      </c>
      <c r="E26" s="96">
        <f>27381.7</f>
        <v>27381.7</v>
      </c>
      <c r="F26" s="96">
        <v>0</v>
      </c>
      <c r="G26" s="96">
        <f>376995.38</f>
        <v>376995.38</v>
      </c>
      <c r="H26" s="96">
        <f>3202.11</f>
        <v>3202.11</v>
      </c>
      <c r="I26" s="96">
        <f>2291.33</f>
        <v>2291.33</v>
      </c>
    </row>
    <row r="27" spans="1:9" s="163" customFormat="1" x14ac:dyDescent="0.3">
      <c r="A27" s="53" t="s">
        <v>44</v>
      </c>
      <c r="B27" s="179">
        <f t="shared" si="2"/>
        <v>12158.14</v>
      </c>
      <c r="C27" s="52">
        <f t="shared" si="3"/>
        <v>4.4201337544411733E-3</v>
      </c>
      <c r="E27" s="96">
        <f>303.04</f>
        <v>303.04000000000002</v>
      </c>
      <c r="F27" s="96">
        <f>11341.21</f>
        <v>11341.21</v>
      </c>
      <c r="G27" s="96">
        <f>513.89</f>
        <v>513.89</v>
      </c>
      <c r="H27" s="96">
        <v>0</v>
      </c>
      <c r="I27" s="96">
        <v>0</v>
      </c>
    </row>
    <row r="28" spans="1:9" s="163" customFormat="1" x14ac:dyDescent="0.3">
      <c r="A28" s="53" t="s">
        <v>45</v>
      </c>
      <c r="B28" s="179">
        <f t="shared" si="2"/>
        <v>2.46</v>
      </c>
      <c r="C28" s="52">
        <f t="shared" si="3"/>
        <v>8.9434148939930669E-7</v>
      </c>
      <c r="E28" s="96">
        <f>2.46</f>
        <v>2.46</v>
      </c>
      <c r="F28" s="96">
        <v>0</v>
      </c>
      <c r="G28" s="96">
        <v>0</v>
      </c>
      <c r="H28" s="96">
        <v>0</v>
      </c>
      <c r="I28" s="96">
        <v>0</v>
      </c>
    </row>
    <row r="29" spans="1:9" s="163" customFormat="1" x14ac:dyDescent="0.3">
      <c r="A29" s="53" t="s">
        <v>46</v>
      </c>
      <c r="B29" s="179">
        <f t="shared" si="2"/>
        <v>0</v>
      </c>
      <c r="C29" s="52">
        <f>(B29+B30)/B$31</f>
        <v>0</v>
      </c>
      <c r="E29" s="96">
        <v>0</v>
      </c>
      <c r="F29" s="96">
        <v>0</v>
      </c>
      <c r="G29" s="96">
        <v>0</v>
      </c>
      <c r="H29" s="96">
        <v>0</v>
      </c>
      <c r="I29" s="96">
        <v>0</v>
      </c>
    </row>
    <row r="30" spans="1:9" x14ac:dyDescent="0.3">
      <c r="A30" s="53" t="s">
        <v>183</v>
      </c>
      <c r="B30" s="179">
        <f>SUM(E30:I30)</f>
        <v>0</v>
      </c>
      <c r="C30" s="52"/>
      <c r="D30" s="163"/>
      <c r="E30" s="96">
        <v>0</v>
      </c>
      <c r="F30" s="96">
        <v>0</v>
      </c>
      <c r="G30" s="96">
        <v>0</v>
      </c>
      <c r="H30" s="96">
        <v>0</v>
      </c>
      <c r="I30" s="96">
        <v>0</v>
      </c>
    </row>
    <row r="31" spans="1:9" x14ac:dyDescent="0.3">
      <c r="A31" s="18"/>
      <c r="B31" s="93">
        <f>SUM(B18:B30)</f>
        <v>2750627.17</v>
      </c>
      <c r="C31" s="54">
        <f>SUM(C18:C30)</f>
        <v>0.99999999999999989</v>
      </c>
      <c r="D31" s="163"/>
      <c r="E31" s="178">
        <f>SUM(E18:E30)</f>
        <v>774556.58</v>
      </c>
      <c r="F31" s="178">
        <f>SUM(F18:F30)</f>
        <v>365211.45999999996</v>
      </c>
      <c r="G31" s="178">
        <f>SUM(G18:G30)</f>
        <v>1381066.7699999998</v>
      </c>
      <c r="H31" s="178">
        <f>SUM(H18:H30)</f>
        <v>118763.61</v>
      </c>
      <c r="I31" s="178">
        <f>SUM(I18:I30)</f>
        <v>111028.75</v>
      </c>
    </row>
    <row r="32" spans="1:9" x14ac:dyDescent="0.3">
      <c r="A32" s="163"/>
      <c r="B32" s="96">
        <f>B31-B30</f>
        <v>2750627.17</v>
      </c>
      <c r="C32" s="114" t="s">
        <v>111</v>
      </c>
      <c r="D32" s="163"/>
      <c r="E32" s="163"/>
      <c r="F32" s="163"/>
      <c r="G32" s="163"/>
      <c r="H32" s="163"/>
      <c r="I32" s="163"/>
    </row>
    <row r="34" spans="1:9" x14ac:dyDescent="0.3">
      <c r="A34" s="15" t="s">
        <v>112</v>
      </c>
      <c r="B34" s="16"/>
      <c r="C34" s="17"/>
      <c r="E34" s="42" t="s">
        <v>182</v>
      </c>
      <c r="F34" s="42" t="s">
        <v>184</v>
      </c>
      <c r="G34" s="42" t="s">
        <v>185</v>
      </c>
      <c r="H34" s="42" t="s">
        <v>186</v>
      </c>
      <c r="I34" s="42" t="s">
        <v>187</v>
      </c>
    </row>
    <row r="35" spans="1:9" x14ac:dyDescent="0.3">
      <c r="A35" s="51" t="s">
        <v>35</v>
      </c>
      <c r="B35" s="179">
        <f>SUM(E35:I35)</f>
        <v>0</v>
      </c>
      <c r="C35" s="52">
        <f t="shared" ref="C35:C45" si="4">B35/B$48</f>
        <v>0</v>
      </c>
      <c r="E35" s="96">
        <v>0</v>
      </c>
      <c r="F35" s="96">
        <v>0</v>
      </c>
      <c r="G35" s="96">
        <v>0</v>
      </c>
      <c r="H35" s="96">
        <v>0</v>
      </c>
      <c r="I35" s="96">
        <v>0</v>
      </c>
    </row>
    <row r="36" spans="1:9" x14ac:dyDescent="0.3">
      <c r="A36" s="53" t="s">
        <v>36</v>
      </c>
      <c r="B36" s="179">
        <f t="shared" ref="B36:B46" si="5">SUM(E36:I36)</f>
        <v>0</v>
      </c>
      <c r="C36" s="52">
        <f t="shared" si="4"/>
        <v>0</v>
      </c>
      <c r="E36" s="96">
        <v>0</v>
      </c>
      <c r="F36" s="96">
        <v>0</v>
      </c>
      <c r="G36" s="96">
        <v>0</v>
      </c>
      <c r="H36" s="96">
        <v>0</v>
      </c>
      <c r="I36" s="96">
        <v>0</v>
      </c>
    </row>
    <row r="37" spans="1:9" x14ac:dyDescent="0.3">
      <c r="A37" s="53" t="s">
        <v>37</v>
      </c>
      <c r="B37" s="179">
        <f t="shared" si="5"/>
        <v>0</v>
      </c>
      <c r="C37" s="52">
        <f t="shared" si="4"/>
        <v>0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</row>
    <row r="38" spans="1:9" x14ac:dyDescent="0.3">
      <c r="A38" s="53" t="s">
        <v>38</v>
      </c>
      <c r="B38" s="179">
        <f t="shared" si="5"/>
        <v>0</v>
      </c>
      <c r="C38" s="52">
        <f t="shared" si="4"/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</row>
    <row r="39" spans="1:9" x14ac:dyDescent="0.3">
      <c r="A39" s="53" t="s">
        <v>39</v>
      </c>
      <c r="B39" s="179">
        <f t="shared" si="5"/>
        <v>0</v>
      </c>
      <c r="C39" s="52">
        <f t="shared" si="4"/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</row>
    <row r="40" spans="1:9" x14ac:dyDescent="0.3">
      <c r="A40" s="53" t="s">
        <v>40</v>
      </c>
      <c r="B40" s="179">
        <f t="shared" si="5"/>
        <v>48658.8</v>
      </c>
      <c r="C40" s="52">
        <f t="shared" si="4"/>
        <v>1.731796909951102E-2</v>
      </c>
      <c r="E40" s="96">
        <f>40383.93</f>
        <v>40383.93</v>
      </c>
      <c r="F40" s="96">
        <v>2229.4299999999998</v>
      </c>
      <c r="G40" s="96">
        <v>0</v>
      </c>
      <c r="H40" s="96">
        <v>0</v>
      </c>
      <c r="I40" s="96">
        <f>6045.44</f>
        <v>6045.44</v>
      </c>
    </row>
    <row r="41" spans="1:9" x14ac:dyDescent="0.3">
      <c r="A41" s="53" t="s">
        <v>41</v>
      </c>
      <c r="B41" s="179">
        <f t="shared" si="5"/>
        <v>1091231.03</v>
      </c>
      <c r="C41" s="52">
        <f t="shared" si="4"/>
        <v>0.38837590030924685</v>
      </c>
      <c r="E41" s="96">
        <f>172088.31+160616.02</f>
        <v>332704.32999999996</v>
      </c>
      <c r="F41" s="96">
        <f>25956.22+35701.49</f>
        <v>61657.71</v>
      </c>
      <c r="G41" s="96">
        <f>287713.68+135857.6+199867.45</f>
        <v>623438.73</v>
      </c>
      <c r="H41" s="96">
        <f>9437.41+18641.12+10672.13</f>
        <v>38750.659999999996</v>
      </c>
      <c r="I41" s="96">
        <f>26909.82+7769.78</f>
        <v>34679.599999999999</v>
      </c>
    </row>
    <row r="42" spans="1:9" x14ac:dyDescent="0.3">
      <c r="A42" s="53" t="s">
        <v>42</v>
      </c>
      <c r="B42" s="179">
        <f t="shared" si="5"/>
        <v>708460.27999999991</v>
      </c>
      <c r="C42" s="52">
        <f t="shared" si="4"/>
        <v>0.25214541331210227</v>
      </c>
      <c r="E42" s="96">
        <f>90725.28+291254.41</f>
        <v>381979.68999999994</v>
      </c>
      <c r="F42" s="96">
        <f>36888.62+3614.67+8400.02+10751.84</f>
        <v>59655.149999999994</v>
      </c>
      <c r="G42" s="96">
        <f>97374.14+46304.07</f>
        <v>143678.21</v>
      </c>
      <c r="H42" s="96">
        <f>3956.35+57651.92</f>
        <v>61608.27</v>
      </c>
      <c r="I42" s="96">
        <f>18291.15+43247.81</f>
        <v>61538.96</v>
      </c>
    </row>
    <row r="43" spans="1:9" x14ac:dyDescent="0.3">
      <c r="A43" s="53" t="s">
        <v>43</v>
      </c>
      <c r="B43" s="179">
        <f t="shared" si="5"/>
        <v>843619.8</v>
      </c>
      <c r="C43" s="52">
        <f t="shared" si="4"/>
        <v>0.30024952584395148</v>
      </c>
      <c r="E43" s="96">
        <f>15015+4374.69</f>
        <v>19389.689999999999</v>
      </c>
      <c r="F43" s="96">
        <f>80816.49+137832.58</f>
        <v>218649.07</v>
      </c>
      <c r="G43" s="96">
        <f>545976.92+34795.74</f>
        <v>580772.66</v>
      </c>
      <c r="H43" s="96">
        <f>17119.65</f>
        <v>17119.650000000001</v>
      </c>
      <c r="I43" s="96">
        <f>7688.73</f>
        <v>7688.73</v>
      </c>
    </row>
    <row r="44" spans="1:9" x14ac:dyDescent="0.3">
      <c r="A44" s="53" t="s">
        <v>44</v>
      </c>
      <c r="B44" s="179">
        <f t="shared" si="5"/>
        <v>0</v>
      </c>
      <c r="C44" s="52">
        <f t="shared" si="4"/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</row>
    <row r="45" spans="1:9" x14ac:dyDescent="0.3">
      <c r="A45" s="53" t="s">
        <v>45</v>
      </c>
      <c r="B45" s="179">
        <f t="shared" si="5"/>
        <v>0</v>
      </c>
      <c r="C45" s="52">
        <f t="shared" si="4"/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</row>
    <row r="46" spans="1:9" x14ac:dyDescent="0.3">
      <c r="A46" s="53" t="s">
        <v>46</v>
      </c>
      <c r="B46" s="179">
        <f t="shared" si="5"/>
        <v>2087.85</v>
      </c>
      <c r="C46" s="52">
        <f>(B46+B47)/B$48</f>
        <v>4.1911191435188233E-2</v>
      </c>
      <c r="E46" s="96">
        <f>580.8</f>
        <v>580.79999999999995</v>
      </c>
      <c r="F46" s="96">
        <f>153+1354.05</f>
        <v>1507.05</v>
      </c>
      <c r="G46" s="96">
        <v>0</v>
      </c>
      <c r="H46" s="96">
        <v>0</v>
      </c>
      <c r="I46" s="96">
        <v>0</v>
      </c>
    </row>
    <row r="47" spans="1:9" s="163" customFormat="1" x14ac:dyDescent="0.3">
      <c r="A47" s="53" t="s">
        <v>183</v>
      </c>
      <c r="B47" s="179">
        <f>SUM(E47:I47)</f>
        <v>115671.24</v>
      </c>
      <c r="C47" s="52"/>
      <c r="E47" s="96">
        <f>29815.26-1000.02</f>
        <v>28815.239999999998</v>
      </c>
      <c r="F47" s="96">
        <f>38363.93</f>
        <v>38363.93</v>
      </c>
      <c r="G47" s="96">
        <v>24408.47</v>
      </c>
      <c r="H47" s="96">
        <f>6612.18</f>
        <v>6612.18</v>
      </c>
      <c r="I47" s="96">
        <f>17471.42</f>
        <v>17471.419999999998</v>
      </c>
    </row>
    <row r="48" spans="1:9" x14ac:dyDescent="0.3">
      <c r="A48" s="18"/>
      <c r="B48" s="93">
        <f>SUM(B35:B47)</f>
        <v>2809729.0000000005</v>
      </c>
      <c r="C48" s="54">
        <f>SUM(C35:C47)</f>
        <v>0.99999999999999978</v>
      </c>
      <c r="E48" s="178">
        <f>SUM(E35:E47)</f>
        <v>803853.67999999993</v>
      </c>
      <c r="F48" s="178">
        <f>SUM(F35:F47)</f>
        <v>382062.33999999997</v>
      </c>
      <c r="G48" s="178">
        <f>SUM(G35:G47)</f>
        <v>1372298.07</v>
      </c>
      <c r="H48" s="178">
        <f>SUM(H35:H47)</f>
        <v>124090.75999999998</v>
      </c>
      <c r="I48" s="178">
        <f>SUM(I35:I47)</f>
        <v>127424.15</v>
      </c>
    </row>
    <row r="49" spans="1:3" x14ac:dyDescent="0.3">
      <c r="A49" s="163"/>
      <c r="B49" s="96">
        <f>B48-B47</f>
        <v>2694057.7600000002</v>
      </c>
      <c r="C49" s="114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17"/>
  <sheetViews>
    <sheetView workbookViewId="0">
      <selection activeCell="C16" sqref="C16"/>
    </sheetView>
  </sheetViews>
  <sheetFormatPr defaultRowHeight="15.6" x14ac:dyDescent="0.3"/>
  <cols>
    <col min="1" max="1" width="24.796875" bestFit="1" customWidth="1"/>
    <col min="2" max="2" width="12.59765625" bestFit="1" customWidth="1"/>
    <col min="3" max="5" width="12.69921875" customWidth="1"/>
  </cols>
  <sheetData>
    <row r="1" spans="1:5" x14ac:dyDescent="0.3">
      <c r="A1" s="5" t="s">
        <v>211</v>
      </c>
    </row>
    <row r="2" spans="1:5" x14ac:dyDescent="0.3">
      <c r="B2" s="214" t="s">
        <v>32</v>
      </c>
      <c r="C2" s="214" t="s">
        <v>226</v>
      </c>
      <c r="D2" s="214" t="s">
        <v>227</v>
      </c>
      <c r="E2" s="214" t="s">
        <v>228</v>
      </c>
    </row>
    <row r="3" spans="1:5" x14ac:dyDescent="0.3">
      <c r="A3" s="53" t="s">
        <v>214</v>
      </c>
      <c r="B3" s="216">
        <f>SUM(C3:E3)</f>
        <v>4274074.4800000004</v>
      </c>
      <c r="C3" s="213">
        <v>1221376.19</v>
      </c>
      <c r="D3" s="213">
        <v>3052698.29</v>
      </c>
      <c r="E3" s="213">
        <v>0</v>
      </c>
    </row>
    <row r="4" spans="1:5" x14ac:dyDescent="0.3">
      <c r="A4" s="53" t="s">
        <v>215</v>
      </c>
      <c r="B4" s="216">
        <f t="shared" ref="B4:B15" si="0">SUM(C4:E4)</f>
        <v>4216953.68</v>
      </c>
      <c r="C4" s="213">
        <v>1163770.3</v>
      </c>
      <c r="D4" s="213">
        <v>3053183.38</v>
      </c>
      <c r="E4" s="213">
        <v>0</v>
      </c>
    </row>
    <row r="5" spans="1:5" x14ac:dyDescent="0.3">
      <c r="A5" s="212" t="s">
        <v>216</v>
      </c>
      <c r="B5" s="216">
        <f t="shared" si="0"/>
        <v>3904582.84</v>
      </c>
      <c r="C5" s="213">
        <v>1154042.3400000001</v>
      </c>
      <c r="D5" s="213">
        <v>2750540.5</v>
      </c>
      <c r="E5" s="213">
        <v>0</v>
      </c>
    </row>
    <row r="6" spans="1:5" x14ac:dyDescent="0.3">
      <c r="A6" s="53" t="s">
        <v>217</v>
      </c>
      <c r="B6" s="216">
        <f t="shared" si="0"/>
        <v>2429357</v>
      </c>
      <c r="C6" s="213">
        <v>928446.55</v>
      </c>
      <c r="D6" s="213">
        <v>1500910.45</v>
      </c>
      <c r="E6" s="213">
        <v>0</v>
      </c>
    </row>
    <row r="7" spans="1:5" x14ac:dyDescent="0.3">
      <c r="A7" s="53" t="s">
        <v>218</v>
      </c>
      <c r="B7" s="216">
        <f t="shared" si="0"/>
        <v>2155573.11</v>
      </c>
      <c r="C7" s="213">
        <v>1154476.2</v>
      </c>
      <c r="D7" s="213">
        <v>1001096.91</v>
      </c>
      <c r="E7" s="213">
        <v>0</v>
      </c>
    </row>
    <row r="8" spans="1:5" x14ac:dyDescent="0.3">
      <c r="A8" s="53" t="s">
        <v>219</v>
      </c>
      <c r="B8" s="216">
        <f t="shared" si="0"/>
        <v>2376521.19</v>
      </c>
      <c r="C8" s="213">
        <v>1875306.29</v>
      </c>
      <c r="D8" s="213">
        <v>501214.9</v>
      </c>
      <c r="E8" s="213">
        <v>0</v>
      </c>
    </row>
    <row r="9" spans="1:5" x14ac:dyDescent="0.3">
      <c r="A9" s="53" t="s">
        <v>220</v>
      </c>
      <c r="B9" s="216">
        <f t="shared" si="0"/>
        <v>1875991.62</v>
      </c>
      <c r="C9" s="213">
        <v>1374776.72</v>
      </c>
      <c r="D9" s="213">
        <v>501214.9</v>
      </c>
      <c r="E9" s="213">
        <v>0</v>
      </c>
    </row>
    <row r="10" spans="1:5" x14ac:dyDescent="0.3">
      <c r="A10" s="53" t="s">
        <v>221</v>
      </c>
      <c r="B10" s="216">
        <f t="shared" si="0"/>
        <v>2984461.13</v>
      </c>
      <c r="C10" s="213">
        <v>2483246.23</v>
      </c>
      <c r="D10" s="213">
        <v>501214.9</v>
      </c>
      <c r="E10" s="213">
        <v>0</v>
      </c>
    </row>
    <row r="11" spans="1:5" x14ac:dyDescent="0.3">
      <c r="A11" s="53" t="s">
        <v>222</v>
      </c>
      <c r="B11" s="216">
        <f t="shared" si="0"/>
        <v>4041536.94</v>
      </c>
      <c r="C11" s="213">
        <v>3240151.75</v>
      </c>
      <c r="D11" s="213">
        <v>801385.19</v>
      </c>
      <c r="E11" s="213">
        <v>0</v>
      </c>
    </row>
    <row r="12" spans="1:5" x14ac:dyDescent="0.3">
      <c r="A12" s="53" t="s">
        <v>223</v>
      </c>
      <c r="B12" s="216">
        <f t="shared" si="0"/>
        <v>4055888.41</v>
      </c>
      <c r="C12" s="213">
        <f>+C11-285869.81</f>
        <v>2954281.94</v>
      </c>
      <c r="D12" s="213">
        <f>D11+300221.28</f>
        <v>1101606.47</v>
      </c>
      <c r="E12" s="213">
        <v>0</v>
      </c>
    </row>
    <row r="13" spans="1:5" x14ac:dyDescent="0.3">
      <c r="A13" s="53" t="s">
        <v>224</v>
      </c>
      <c r="B13" s="216">
        <f t="shared" si="0"/>
        <v>4115455.29</v>
      </c>
      <c r="C13" s="213">
        <f>+C12-240608.71</f>
        <v>2713673.23</v>
      </c>
      <c r="D13" s="213">
        <f>D12+300175.59</f>
        <v>1401782.06</v>
      </c>
      <c r="E13" s="213">
        <v>0</v>
      </c>
    </row>
    <row r="14" spans="1:5" x14ac:dyDescent="0.3">
      <c r="A14" s="53" t="s">
        <v>225</v>
      </c>
      <c r="B14" s="216">
        <f t="shared" si="0"/>
        <v>4400535.7200000007</v>
      </c>
      <c r="C14" s="213">
        <f>+C13+285080.43</f>
        <v>2998753.66</v>
      </c>
      <c r="D14" s="213">
        <f>D13</f>
        <v>1401782.06</v>
      </c>
      <c r="E14" s="213">
        <v>0</v>
      </c>
    </row>
    <row r="15" spans="1:5" x14ac:dyDescent="0.3">
      <c r="A15" s="53" t="s">
        <v>213</v>
      </c>
      <c r="B15" s="216">
        <f t="shared" si="0"/>
        <v>4167409.5300000003</v>
      </c>
      <c r="C15" s="215">
        <v>2765374</v>
      </c>
      <c r="D15" s="213">
        <f>D14+253.47</f>
        <v>1402035.53</v>
      </c>
      <c r="E15" s="213">
        <v>0</v>
      </c>
    </row>
    <row r="16" spans="1:5" x14ac:dyDescent="0.3">
      <c r="B16" s="220" t="s">
        <v>234</v>
      </c>
    </row>
    <row r="17" spans="2:2" x14ac:dyDescent="0.3">
      <c r="B17" t="s">
        <v>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R31"/>
  <sheetViews>
    <sheetView topLeftCell="A4" workbookViewId="0">
      <selection activeCell="B21" sqref="B21"/>
    </sheetView>
  </sheetViews>
  <sheetFormatPr defaultRowHeight="15.6" x14ac:dyDescent="0.3"/>
  <cols>
    <col min="1" max="1" width="13.296875" style="151" bestFit="1" customWidth="1"/>
    <col min="2" max="2" width="11.69921875" style="151" bestFit="1" customWidth="1"/>
    <col min="3" max="20" width="11.69921875" style="151" customWidth="1"/>
    <col min="21" max="16384" width="8.796875" style="151"/>
  </cols>
  <sheetData>
    <row r="1" spans="1:18" x14ac:dyDescent="0.3">
      <c r="A1" s="210" t="s">
        <v>159</v>
      </c>
      <c r="B1" s="210" t="s">
        <v>230</v>
      </c>
      <c r="C1" s="321" t="s">
        <v>140</v>
      </c>
      <c r="D1" s="322"/>
      <c r="E1" s="321" t="s">
        <v>155</v>
      </c>
      <c r="F1" s="322"/>
      <c r="G1" s="321" t="s">
        <v>156</v>
      </c>
      <c r="H1" s="322"/>
      <c r="I1" s="321" t="s">
        <v>157</v>
      </c>
      <c r="J1" s="322"/>
      <c r="K1" s="321" t="s">
        <v>232</v>
      </c>
      <c r="L1" s="322"/>
      <c r="M1" s="321" t="s">
        <v>158</v>
      </c>
      <c r="N1" s="322"/>
      <c r="O1" s="321" t="s">
        <v>233</v>
      </c>
      <c r="P1" s="322"/>
      <c r="Q1" s="321" t="s">
        <v>156</v>
      </c>
      <c r="R1" s="322"/>
    </row>
    <row r="2" spans="1:18" x14ac:dyDescent="0.3">
      <c r="A2" s="211" t="s">
        <v>141</v>
      </c>
      <c r="B2" s="151">
        <f>D2+F2+H2+J2+L2+N2+P2+R2</f>
        <v>212006.78999999998</v>
      </c>
      <c r="C2" s="164"/>
      <c r="D2" s="165">
        <v>3923.8</v>
      </c>
      <c r="E2" s="164"/>
      <c r="F2" s="165">
        <v>0</v>
      </c>
      <c r="G2" s="164"/>
      <c r="H2" s="165">
        <v>205605.9</v>
      </c>
      <c r="I2" s="164"/>
      <c r="J2" s="165">
        <v>20.190000000000001</v>
      </c>
      <c r="K2" s="164"/>
      <c r="L2" s="165">
        <v>0</v>
      </c>
      <c r="M2" s="164"/>
      <c r="N2" s="165">
        <v>2456.9</v>
      </c>
      <c r="O2" s="164"/>
      <c r="P2" s="165">
        <v>0</v>
      </c>
      <c r="Q2" s="164"/>
      <c r="R2" s="165">
        <v>0</v>
      </c>
    </row>
    <row r="3" spans="1:18" x14ac:dyDescent="0.3">
      <c r="A3" s="211" t="s">
        <v>142</v>
      </c>
      <c r="B3" s="151">
        <f t="shared" ref="B3:B15" si="0">D3+F3+H3+J3+L3+N3+P3+R3</f>
        <v>378475.91</v>
      </c>
      <c r="C3" s="164"/>
      <c r="D3" s="165">
        <v>32159.57</v>
      </c>
      <c r="E3" s="164"/>
      <c r="F3" s="165">
        <v>-13.13</v>
      </c>
      <c r="G3" s="164"/>
      <c r="H3" s="165">
        <v>242666.59</v>
      </c>
      <c r="I3" s="164"/>
      <c r="J3" s="165">
        <v>40.39</v>
      </c>
      <c r="K3" s="164"/>
      <c r="L3" s="165">
        <v>0</v>
      </c>
      <c r="M3" s="164"/>
      <c r="N3" s="165">
        <v>6634.11</v>
      </c>
      <c r="O3" s="164"/>
      <c r="P3" s="165">
        <v>-241.05</v>
      </c>
      <c r="Q3" s="164"/>
      <c r="R3" s="165">
        <v>97229.43</v>
      </c>
    </row>
    <row r="4" spans="1:18" x14ac:dyDescent="0.3">
      <c r="A4" s="211" t="s">
        <v>143</v>
      </c>
      <c r="B4" s="151">
        <f t="shared" si="0"/>
        <v>268580.26999999996</v>
      </c>
      <c r="C4" s="164"/>
      <c r="D4" s="165">
        <v>2535.4699999999998</v>
      </c>
      <c r="E4" s="164"/>
      <c r="F4" s="165">
        <v>563.51</v>
      </c>
      <c r="G4" s="164"/>
      <c r="H4" s="165">
        <v>265146.95</v>
      </c>
      <c r="I4" s="164"/>
      <c r="J4" s="165">
        <v>60.86</v>
      </c>
      <c r="K4" s="164"/>
      <c r="L4" s="165">
        <v>0</v>
      </c>
      <c r="M4" s="164"/>
      <c r="N4" s="165">
        <v>273.48</v>
      </c>
      <c r="O4" s="164"/>
      <c r="P4" s="165">
        <v>0</v>
      </c>
      <c r="Q4" s="164"/>
      <c r="R4" s="165">
        <v>0</v>
      </c>
    </row>
    <row r="5" spans="1:18" x14ac:dyDescent="0.3">
      <c r="A5" s="211" t="s">
        <v>144</v>
      </c>
      <c r="B5" s="151">
        <f t="shared" si="0"/>
        <v>130360.13999999998</v>
      </c>
      <c r="C5" s="164"/>
      <c r="D5" s="165">
        <v>6255.69</v>
      </c>
      <c r="E5" s="164"/>
      <c r="F5" s="165">
        <v>975.77</v>
      </c>
      <c r="G5" s="164"/>
      <c r="H5" s="165">
        <v>2968.96</v>
      </c>
      <c r="I5" s="164"/>
      <c r="J5" s="165">
        <v>80.959999999999994</v>
      </c>
      <c r="K5" s="164"/>
      <c r="L5" s="165">
        <v>0</v>
      </c>
      <c r="M5" s="164"/>
      <c r="N5" s="165">
        <v>120078.76</v>
      </c>
      <c r="O5" s="164"/>
      <c r="P5" s="165">
        <v>0</v>
      </c>
      <c r="Q5" s="164"/>
      <c r="R5" s="165">
        <v>0</v>
      </c>
    </row>
    <row r="6" spans="1:18" x14ac:dyDescent="0.3">
      <c r="A6" s="211" t="s">
        <v>145</v>
      </c>
      <c r="B6" s="151">
        <f t="shared" si="0"/>
        <v>229492.24</v>
      </c>
      <c r="C6" s="164"/>
      <c r="D6" s="165">
        <v>16457.099999999999</v>
      </c>
      <c r="E6" s="164"/>
      <c r="F6" s="165">
        <v>22059.16</v>
      </c>
      <c r="G6" s="164"/>
      <c r="H6" s="165">
        <v>119005.2</v>
      </c>
      <c r="I6" s="164"/>
      <c r="J6" s="165">
        <v>20.100000000000001</v>
      </c>
      <c r="K6" s="164"/>
      <c r="L6" s="165">
        <v>0</v>
      </c>
      <c r="M6" s="164"/>
      <c r="N6" s="165">
        <v>71950.679999999993</v>
      </c>
      <c r="O6" s="164"/>
      <c r="P6" s="165">
        <v>0</v>
      </c>
      <c r="Q6" s="164"/>
      <c r="R6" s="165">
        <v>0</v>
      </c>
    </row>
    <row r="7" spans="1:18" x14ac:dyDescent="0.3">
      <c r="A7" s="211" t="s">
        <v>146</v>
      </c>
      <c r="B7" s="151">
        <f t="shared" si="0"/>
        <v>204512.56</v>
      </c>
      <c r="C7" s="164"/>
      <c r="D7" s="165">
        <v>7605.51</v>
      </c>
      <c r="E7" s="164"/>
      <c r="F7" s="165">
        <v>2603.65</v>
      </c>
      <c r="G7" s="164"/>
      <c r="H7" s="165">
        <v>133466.57999999999</v>
      </c>
      <c r="I7" s="164"/>
      <c r="J7" s="165">
        <v>40.53</v>
      </c>
      <c r="K7" s="164"/>
      <c r="L7" s="165">
        <v>0</v>
      </c>
      <c r="M7" s="164"/>
      <c r="N7" s="165">
        <v>60796.29</v>
      </c>
      <c r="O7" s="164"/>
      <c r="P7" s="165">
        <v>0</v>
      </c>
      <c r="Q7" s="164"/>
      <c r="R7" s="165">
        <v>0</v>
      </c>
    </row>
    <row r="8" spans="1:18" x14ac:dyDescent="0.3">
      <c r="A8" s="211" t="s">
        <v>147</v>
      </c>
      <c r="B8" s="151">
        <f t="shared" si="0"/>
        <v>183640.59</v>
      </c>
      <c r="C8" s="164"/>
      <c r="D8" s="165">
        <v>1660.21</v>
      </c>
      <c r="E8" s="164"/>
      <c r="F8" s="165">
        <v>482.21</v>
      </c>
      <c r="G8" s="164"/>
      <c r="H8" s="165">
        <v>103071.24</v>
      </c>
      <c r="I8" s="164"/>
      <c r="J8" s="165">
        <v>60.9</v>
      </c>
      <c r="K8" s="164"/>
      <c r="L8" s="165">
        <v>1201.5</v>
      </c>
      <c r="M8" s="164"/>
      <c r="N8" s="165">
        <v>77164.53</v>
      </c>
      <c r="O8" s="164"/>
      <c r="P8" s="165">
        <v>0</v>
      </c>
      <c r="Q8" s="164"/>
      <c r="R8" s="165">
        <v>0</v>
      </c>
    </row>
    <row r="9" spans="1:18" x14ac:dyDescent="0.3">
      <c r="A9" s="211" t="s">
        <v>148</v>
      </c>
      <c r="B9" s="151">
        <f t="shared" si="0"/>
        <v>119364.85</v>
      </c>
      <c r="C9" s="164"/>
      <c r="D9" s="165">
        <v>4016.72</v>
      </c>
      <c r="E9" s="164"/>
      <c r="F9" s="165">
        <v>66.11</v>
      </c>
      <c r="G9" s="164"/>
      <c r="H9" s="165">
        <v>51925.39</v>
      </c>
      <c r="I9" s="164"/>
      <c r="J9" s="165">
        <v>80.91</v>
      </c>
      <c r="K9" s="164"/>
      <c r="L9" s="165">
        <v>1201.5</v>
      </c>
      <c r="M9" s="164"/>
      <c r="N9" s="165">
        <v>62074.22</v>
      </c>
      <c r="O9" s="164"/>
      <c r="P9" s="165">
        <v>0</v>
      </c>
      <c r="Q9" s="164"/>
      <c r="R9" s="165">
        <v>0</v>
      </c>
    </row>
    <row r="10" spans="1:18" x14ac:dyDescent="0.3">
      <c r="A10" s="211" t="s">
        <v>149</v>
      </c>
      <c r="B10" s="151">
        <f t="shared" si="0"/>
        <v>192434.46000000002</v>
      </c>
      <c r="C10" s="164"/>
      <c r="D10" s="165">
        <v>3786.41</v>
      </c>
      <c r="E10" s="164"/>
      <c r="F10" s="165">
        <v>171.27</v>
      </c>
      <c r="G10" s="164"/>
      <c r="H10" s="165">
        <v>145319.79999999999</v>
      </c>
      <c r="I10" s="164"/>
      <c r="J10" s="165">
        <v>100.92</v>
      </c>
      <c r="K10" s="164"/>
      <c r="L10" s="165">
        <v>40574.300000000003</v>
      </c>
      <c r="M10" s="164"/>
      <c r="N10" s="165">
        <v>2481.7600000000002</v>
      </c>
      <c r="O10" s="164"/>
      <c r="P10" s="165">
        <v>0</v>
      </c>
      <c r="Q10" s="164"/>
      <c r="R10" s="165">
        <v>0</v>
      </c>
    </row>
    <row r="11" spans="1:18" x14ac:dyDescent="0.3">
      <c r="A11" s="211" t="s">
        <v>150</v>
      </c>
      <c r="B11" s="151">
        <f t="shared" si="0"/>
        <v>331201.19999999995</v>
      </c>
      <c r="C11" s="166">
        <v>1613.82</v>
      </c>
      <c r="D11" s="167">
        <f>D10-C11</f>
        <v>2172.59</v>
      </c>
      <c r="E11" s="166">
        <v>-449.35</v>
      </c>
      <c r="F11" s="167">
        <f>F10-E11</f>
        <v>620.62</v>
      </c>
      <c r="G11" s="166">
        <v>-71933.73</v>
      </c>
      <c r="H11" s="167">
        <f>H10-G11</f>
        <v>217253.52999999997</v>
      </c>
      <c r="I11" s="166">
        <v>-20.36</v>
      </c>
      <c r="J11" s="167">
        <f>J10-I11</f>
        <v>121.28</v>
      </c>
      <c r="K11" s="166">
        <v>-70455</v>
      </c>
      <c r="L11" s="167">
        <f>L10-K11</f>
        <v>111029.3</v>
      </c>
      <c r="M11" s="166">
        <v>2477.88</v>
      </c>
      <c r="N11" s="167">
        <f>N10-M11</f>
        <v>3.8800000000001091</v>
      </c>
      <c r="O11" s="164"/>
      <c r="P11" s="165">
        <v>0</v>
      </c>
      <c r="Q11" s="164"/>
      <c r="R11" s="165">
        <v>0</v>
      </c>
    </row>
    <row r="12" spans="1:18" x14ac:dyDescent="0.3">
      <c r="A12" s="211" t="s">
        <v>151</v>
      </c>
      <c r="B12" s="151">
        <f t="shared" si="0"/>
        <v>342114.71</v>
      </c>
      <c r="C12" s="166">
        <v>-3671.31</v>
      </c>
      <c r="D12" s="167">
        <f>D11-C12</f>
        <v>5843.9</v>
      </c>
      <c r="E12" s="166">
        <v>-3860.43</v>
      </c>
      <c r="F12" s="167">
        <f>F11-E12</f>
        <v>4481.05</v>
      </c>
      <c r="G12" s="166">
        <v>55851.64</v>
      </c>
      <c r="H12" s="167">
        <f>H11-G12</f>
        <v>161401.88999999996</v>
      </c>
      <c r="I12" s="166">
        <v>101.29</v>
      </c>
      <c r="J12" s="167">
        <f>J11-I12</f>
        <v>19.989999999999995</v>
      </c>
      <c r="K12" s="166">
        <v>-58455.62</v>
      </c>
      <c r="L12" s="167">
        <f>L11-K12</f>
        <v>169484.92</v>
      </c>
      <c r="M12" s="166">
        <v>-879.08</v>
      </c>
      <c r="N12" s="167">
        <f>N11-M12</f>
        <v>882.96000000000015</v>
      </c>
      <c r="O12" s="166">
        <v>0</v>
      </c>
      <c r="P12" s="167">
        <f>P11-O12</f>
        <v>0</v>
      </c>
      <c r="Q12" s="166">
        <v>0</v>
      </c>
      <c r="R12" s="167">
        <f>R11-Q12</f>
        <v>0</v>
      </c>
    </row>
    <row r="13" spans="1:18" x14ac:dyDescent="0.3">
      <c r="A13" s="211" t="s">
        <v>152</v>
      </c>
      <c r="B13" s="151">
        <f t="shared" si="0"/>
        <v>101350.60999999997</v>
      </c>
      <c r="C13" s="166">
        <v>5843.9</v>
      </c>
      <c r="D13" s="167">
        <f t="shared" ref="D13:D15" si="1">D12-C13</f>
        <v>0</v>
      </c>
      <c r="E13" s="166">
        <v>4481.05</v>
      </c>
      <c r="F13" s="167">
        <f t="shared" ref="F13:F15" si="2">F12-E13</f>
        <v>0</v>
      </c>
      <c r="G13" s="166">
        <v>60821.27</v>
      </c>
      <c r="H13" s="167">
        <f t="shared" ref="H13:H15" si="3">H12-G13</f>
        <v>100580.61999999997</v>
      </c>
      <c r="I13" s="166">
        <v>0</v>
      </c>
      <c r="J13" s="167">
        <f t="shared" ref="J13:J15" si="4">J12-I13</f>
        <v>19.989999999999995</v>
      </c>
      <c r="K13" s="166">
        <v>168734.92</v>
      </c>
      <c r="L13" s="167">
        <f t="shared" ref="L13:L15" si="5">L12-K13</f>
        <v>750</v>
      </c>
      <c r="M13" s="166">
        <v>882.96</v>
      </c>
      <c r="N13" s="167">
        <f t="shared" ref="N13:N15" si="6">N12-M13</f>
        <v>0</v>
      </c>
      <c r="O13" s="166">
        <v>0</v>
      </c>
      <c r="P13" s="167">
        <f t="shared" ref="P13:P15" si="7">P12-O13</f>
        <v>0</v>
      </c>
      <c r="Q13" s="166">
        <v>0</v>
      </c>
      <c r="R13" s="167">
        <f t="shared" ref="R13:R15" si="8">R12-Q13</f>
        <v>0</v>
      </c>
    </row>
    <row r="14" spans="1:18" x14ac:dyDescent="0.3">
      <c r="A14" s="211" t="s">
        <v>153</v>
      </c>
      <c r="B14" s="151">
        <f t="shared" si="0"/>
        <v>283818.57999999996</v>
      </c>
      <c r="C14" s="166">
        <v>-14997.68</v>
      </c>
      <c r="D14" s="167">
        <f t="shared" si="1"/>
        <v>14997.68</v>
      </c>
      <c r="E14" s="166">
        <v>-24804.58</v>
      </c>
      <c r="F14" s="167">
        <f t="shared" si="2"/>
        <v>24804.58</v>
      </c>
      <c r="G14" s="166">
        <v>-121714.28</v>
      </c>
      <c r="H14" s="167">
        <f t="shared" si="3"/>
        <v>222294.89999999997</v>
      </c>
      <c r="I14" s="166">
        <v>0</v>
      </c>
      <c r="J14" s="167">
        <f t="shared" si="4"/>
        <v>19.989999999999995</v>
      </c>
      <c r="K14" s="166">
        <v>-13869</v>
      </c>
      <c r="L14" s="167">
        <f t="shared" si="5"/>
        <v>14619</v>
      </c>
      <c r="M14" s="166">
        <v>-7082.43</v>
      </c>
      <c r="N14" s="167">
        <f t="shared" si="6"/>
        <v>7082.43</v>
      </c>
      <c r="O14" s="166">
        <v>0</v>
      </c>
      <c r="P14" s="167">
        <f t="shared" si="7"/>
        <v>0</v>
      </c>
      <c r="Q14" s="166">
        <v>0</v>
      </c>
      <c r="R14" s="167">
        <f t="shared" si="8"/>
        <v>0</v>
      </c>
    </row>
    <row r="15" spans="1:18" x14ac:dyDescent="0.3">
      <c r="A15" s="211" t="s">
        <v>154</v>
      </c>
      <c r="B15" s="151">
        <f t="shared" si="0"/>
        <v>283818.57999999996</v>
      </c>
      <c r="C15" s="168">
        <v>0</v>
      </c>
      <c r="D15" s="169">
        <f t="shared" si="1"/>
        <v>14997.68</v>
      </c>
      <c r="E15" s="168">
        <v>0</v>
      </c>
      <c r="F15" s="169">
        <f t="shared" si="2"/>
        <v>24804.58</v>
      </c>
      <c r="G15" s="168">
        <v>0</v>
      </c>
      <c r="H15" s="169">
        <f t="shared" si="3"/>
        <v>222294.89999999997</v>
      </c>
      <c r="I15" s="168">
        <v>0</v>
      </c>
      <c r="J15" s="169">
        <f t="shared" si="4"/>
        <v>19.989999999999995</v>
      </c>
      <c r="K15" s="168"/>
      <c r="L15" s="169">
        <f t="shared" si="5"/>
        <v>14619</v>
      </c>
      <c r="M15" s="168">
        <v>0</v>
      </c>
      <c r="N15" s="169">
        <f t="shared" si="6"/>
        <v>7082.43</v>
      </c>
      <c r="O15" s="168">
        <v>0</v>
      </c>
      <c r="P15" s="169">
        <f t="shared" si="7"/>
        <v>0</v>
      </c>
      <c r="Q15" s="168">
        <v>0</v>
      </c>
      <c r="R15" s="169">
        <f t="shared" si="8"/>
        <v>0</v>
      </c>
    </row>
    <row r="17" spans="1:18" x14ac:dyDescent="0.3">
      <c r="A17" s="210" t="s">
        <v>159</v>
      </c>
      <c r="B17" s="210" t="s">
        <v>231</v>
      </c>
      <c r="C17" s="321" t="s">
        <v>162</v>
      </c>
      <c r="D17" s="322"/>
      <c r="E17" s="321" t="s">
        <v>160</v>
      </c>
      <c r="F17" s="322"/>
      <c r="G17" s="321" t="s">
        <v>161</v>
      </c>
      <c r="H17" s="322"/>
      <c r="I17" s="321" t="s">
        <v>157</v>
      </c>
      <c r="J17" s="322"/>
      <c r="K17" s="321" t="s">
        <v>163</v>
      </c>
      <c r="L17" s="322"/>
      <c r="M17" s="321" t="s">
        <v>164</v>
      </c>
      <c r="N17" s="322"/>
      <c r="O17" s="321" t="s">
        <v>161</v>
      </c>
      <c r="P17" s="322"/>
      <c r="Q17" s="323"/>
      <c r="R17" s="323"/>
    </row>
    <row r="18" spans="1:18" x14ac:dyDescent="0.3">
      <c r="A18" s="211" t="s">
        <v>141</v>
      </c>
      <c r="B18" s="151">
        <f>D18+F18+H18+J18+L18+N18+P18</f>
        <v>-8922.2900000000009</v>
      </c>
      <c r="C18" s="164"/>
      <c r="D18" s="165">
        <v>0</v>
      </c>
      <c r="E18" s="164"/>
      <c r="F18" s="165">
        <v>-8013.6</v>
      </c>
      <c r="G18" s="164"/>
      <c r="H18" s="165">
        <v>0</v>
      </c>
      <c r="I18" s="164"/>
      <c r="J18" s="165">
        <v>0</v>
      </c>
      <c r="K18" s="164"/>
      <c r="L18" s="165">
        <v>0</v>
      </c>
      <c r="M18" s="164"/>
      <c r="N18" s="165">
        <v>-908.69</v>
      </c>
      <c r="O18" s="164"/>
      <c r="P18" s="165">
        <v>0</v>
      </c>
      <c r="Q18" s="163"/>
      <c r="R18" s="163"/>
    </row>
    <row r="19" spans="1:18" x14ac:dyDescent="0.3">
      <c r="A19" s="211" t="s">
        <v>142</v>
      </c>
      <c r="B19" s="151">
        <f t="shared" ref="B19:B31" si="9">D19+F19+H19+J19+L19+N19+P19</f>
        <v>-18452.5</v>
      </c>
      <c r="C19" s="164"/>
      <c r="D19" s="165">
        <v>0</v>
      </c>
      <c r="E19" s="164"/>
      <c r="F19" s="165">
        <v>-10883.95</v>
      </c>
      <c r="G19" s="164"/>
      <c r="H19" s="165">
        <v>-6659.86</v>
      </c>
      <c r="I19" s="164"/>
      <c r="J19" s="165">
        <v>0</v>
      </c>
      <c r="K19" s="164"/>
      <c r="L19" s="165">
        <v>0</v>
      </c>
      <c r="M19" s="164"/>
      <c r="N19" s="165">
        <v>-908.69</v>
      </c>
      <c r="O19" s="164"/>
      <c r="P19" s="165">
        <v>0</v>
      </c>
      <c r="Q19" s="163"/>
      <c r="R19" s="163"/>
    </row>
    <row r="20" spans="1:18" x14ac:dyDescent="0.3">
      <c r="A20" s="211" t="s">
        <v>143</v>
      </c>
      <c r="B20" s="151">
        <f t="shared" si="9"/>
        <v>-15076.199999999999</v>
      </c>
      <c r="C20" s="164"/>
      <c r="D20" s="165">
        <v>0</v>
      </c>
      <c r="E20" s="164"/>
      <c r="F20" s="165">
        <v>-12948.48</v>
      </c>
      <c r="G20" s="164"/>
      <c r="H20" s="165">
        <v>-710.5</v>
      </c>
      <c r="I20" s="164"/>
      <c r="J20" s="165">
        <v>0</v>
      </c>
      <c r="K20" s="164"/>
      <c r="L20" s="165">
        <v>0</v>
      </c>
      <c r="M20" s="164"/>
      <c r="N20" s="165">
        <v>-1417.22</v>
      </c>
      <c r="O20" s="164"/>
      <c r="P20" s="165">
        <v>0</v>
      </c>
      <c r="Q20" s="163"/>
      <c r="R20" s="163"/>
    </row>
    <row r="21" spans="1:18" x14ac:dyDescent="0.3">
      <c r="A21" s="211" t="s">
        <v>144</v>
      </c>
      <c r="B21" s="151">
        <f t="shared" si="9"/>
        <v>-1989.3400000000001</v>
      </c>
      <c r="C21" s="164"/>
      <c r="D21" s="165">
        <v>0</v>
      </c>
      <c r="E21" s="164"/>
      <c r="F21" s="165">
        <v>0</v>
      </c>
      <c r="G21" s="164"/>
      <c r="H21" s="165">
        <v>-263.25</v>
      </c>
      <c r="I21" s="164"/>
      <c r="J21" s="165">
        <v>0</v>
      </c>
      <c r="K21" s="164"/>
      <c r="L21" s="165">
        <v>0</v>
      </c>
      <c r="M21" s="164"/>
      <c r="N21" s="165">
        <v>-1684.69</v>
      </c>
      <c r="O21" s="164"/>
      <c r="P21" s="165">
        <v>-41.4</v>
      </c>
      <c r="Q21" s="163"/>
      <c r="R21" s="163"/>
    </row>
    <row r="22" spans="1:18" x14ac:dyDescent="0.3">
      <c r="A22" s="211" t="s">
        <v>145</v>
      </c>
      <c r="B22" s="151">
        <f t="shared" si="9"/>
        <v>-72837.64</v>
      </c>
      <c r="C22" s="164"/>
      <c r="D22" s="165">
        <v>0</v>
      </c>
      <c r="E22" s="164"/>
      <c r="F22" s="165">
        <v>-69267.95</v>
      </c>
      <c r="G22" s="164"/>
      <c r="H22" s="165">
        <v>-3182.56</v>
      </c>
      <c r="I22" s="164"/>
      <c r="J22" s="165">
        <v>0</v>
      </c>
      <c r="K22" s="164"/>
      <c r="L22" s="165">
        <v>0</v>
      </c>
      <c r="M22" s="164"/>
      <c r="N22" s="165">
        <v>-267.13</v>
      </c>
      <c r="O22" s="164"/>
      <c r="P22" s="165">
        <v>-120</v>
      </c>
      <c r="Q22" s="163"/>
      <c r="R22" s="163"/>
    </row>
    <row r="23" spans="1:18" x14ac:dyDescent="0.3">
      <c r="A23" s="211" t="s">
        <v>146</v>
      </c>
      <c r="B23" s="151">
        <f t="shared" si="9"/>
        <v>-87723.819999999992</v>
      </c>
      <c r="C23" s="164"/>
      <c r="D23" s="165">
        <v>0</v>
      </c>
      <c r="E23" s="164"/>
      <c r="F23" s="165">
        <v>-83724.929999999993</v>
      </c>
      <c r="G23" s="164"/>
      <c r="H23" s="165">
        <v>-3559.28</v>
      </c>
      <c r="I23" s="164"/>
      <c r="J23" s="165">
        <v>0</v>
      </c>
      <c r="K23" s="164"/>
      <c r="L23" s="165">
        <v>0</v>
      </c>
      <c r="M23" s="164"/>
      <c r="N23" s="165">
        <v>-439.61</v>
      </c>
      <c r="O23" s="164"/>
      <c r="P23" s="165">
        <v>0</v>
      </c>
      <c r="Q23" s="163"/>
      <c r="R23" s="163"/>
    </row>
    <row r="24" spans="1:18" x14ac:dyDescent="0.3">
      <c r="A24" s="211" t="s">
        <v>147</v>
      </c>
      <c r="B24" s="151">
        <f t="shared" si="9"/>
        <v>-87325.67</v>
      </c>
      <c r="C24" s="164"/>
      <c r="D24" s="165">
        <v>0</v>
      </c>
      <c r="E24" s="164"/>
      <c r="F24" s="165">
        <v>-86150.29</v>
      </c>
      <c r="G24" s="164"/>
      <c r="H24" s="165">
        <v>-593.25</v>
      </c>
      <c r="I24" s="164"/>
      <c r="J24" s="165">
        <v>0</v>
      </c>
      <c r="K24" s="164"/>
      <c r="L24" s="165">
        <v>0</v>
      </c>
      <c r="M24" s="164"/>
      <c r="N24" s="165">
        <v>-582.13</v>
      </c>
      <c r="O24" s="164"/>
      <c r="P24" s="165">
        <v>0</v>
      </c>
      <c r="Q24" s="163"/>
      <c r="R24" s="163"/>
    </row>
    <row r="25" spans="1:18" x14ac:dyDescent="0.3">
      <c r="A25" s="211" t="s">
        <v>148</v>
      </c>
      <c r="B25" s="151">
        <f t="shared" si="9"/>
        <v>-5141.88</v>
      </c>
      <c r="C25" s="164"/>
      <c r="D25" s="165">
        <v>0</v>
      </c>
      <c r="E25" s="164"/>
      <c r="F25" s="165">
        <v>-74.319999999999993</v>
      </c>
      <c r="G25" s="164"/>
      <c r="H25" s="165">
        <v>-4337.26</v>
      </c>
      <c r="I25" s="164"/>
      <c r="J25" s="165">
        <v>0</v>
      </c>
      <c r="K25" s="164"/>
      <c r="L25" s="165">
        <v>0</v>
      </c>
      <c r="M25" s="164"/>
      <c r="N25" s="165">
        <v>-730.3</v>
      </c>
      <c r="O25" s="164"/>
      <c r="P25" s="165">
        <v>0</v>
      </c>
      <c r="Q25" s="163"/>
      <c r="R25" s="163"/>
    </row>
    <row r="26" spans="1:18" x14ac:dyDescent="0.3">
      <c r="A26" s="211" t="s">
        <v>149</v>
      </c>
      <c r="B26" s="151">
        <f t="shared" si="9"/>
        <v>-18906.87</v>
      </c>
      <c r="C26" s="164"/>
      <c r="D26" s="165">
        <v>0</v>
      </c>
      <c r="E26" s="164"/>
      <c r="F26" s="165">
        <v>-15567.83</v>
      </c>
      <c r="G26" s="164"/>
      <c r="H26" s="165">
        <v>-2727.49</v>
      </c>
      <c r="I26" s="164"/>
      <c r="J26" s="165">
        <v>0</v>
      </c>
      <c r="K26" s="164"/>
      <c r="L26" s="165">
        <v>0</v>
      </c>
      <c r="M26" s="164"/>
      <c r="N26" s="165">
        <v>-611.54999999999995</v>
      </c>
      <c r="O26" s="164"/>
      <c r="P26" s="165">
        <v>0</v>
      </c>
      <c r="Q26" s="163"/>
      <c r="R26" s="163"/>
    </row>
    <row r="27" spans="1:18" x14ac:dyDescent="0.3">
      <c r="A27" s="211" t="s">
        <v>150</v>
      </c>
      <c r="B27" s="151">
        <f t="shared" si="9"/>
        <v>-22297.49</v>
      </c>
      <c r="C27" s="164"/>
      <c r="D27" s="165">
        <v>0</v>
      </c>
      <c r="E27" s="166">
        <v>4513.17</v>
      </c>
      <c r="F27" s="167">
        <f>F26-E27</f>
        <v>-20081</v>
      </c>
      <c r="G27" s="166">
        <v>-1811.74</v>
      </c>
      <c r="H27" s="167">
        <f>H26-G27</f>
        <v>-915.74999999999977</v>
      </c>
      <c r="I27" s="164"/>
      <c r="J27" s="165">
        <v>0</v>
      </c>
      <c r="K27" s="164"/>
      <c r="L27" s="165">
        <v>0</v>
      </c>
      <c r="M27" s="166">
        <v>689.19</v>
      </c>
      <c r="N27" s="167">
        <f>N26-M27</f>
        <v>-1300.74</v>
      </c>
      <c r="O27" s="164"/>
      <c r="P27" s="165">
        <v>0</v>
      </c>
      <c r="Q27" s="163"/>
      <c r="R27" s="163"/>
    </row>
    <row r="28" spans="1:18" x14ac:dyDescent="0.3">
      <c r="A28" s="211" t="s">
        <v>151</v>
      </c>
      <c r="B28" s="151">
        <f t="shared" si="9"/>
        <v>-4047.75</v>
      </c>
      <c r="C28" s="166">
        <v>0</v>
      </c>
      <c r="D28" s="167">
        <f>D27-C28</f>
        <v>0</v>
      </c>
      <c r="E28" s="166">
        <v>-20081</v>
      </c>
      <c r="F28" s="167">
        <f>F27-E28</f>
        <v>0</v>
      </c>
      <c r="G28" s="166">
        <v>2133.25</v>
      </c>
      <c r="H28" s="167">
        <f>H27-G28</f>
        <v>-3049</v>
      </c>
      <c r="I28" s="166">
        <v>0</v>
      </c>
      <c r="J28" s="167">
        <f>J27-I28</f>
        <v>0</v>
      </c>
      <c r="K28" s="166">
        <v>0</v>
      </c>
      <c r="L28" s="167">
        <f>L27-K28</f>
        <v>0</v>
      </c>
      <c r="M28" s="166">
        <v>-301.99</v>
      </c>
      <c r="N28" s="167">
        <f>N27-M28</f>
        <v>-998.75</v>
      </c>
      <c r="O28" s="166">
        <v>0</v>
      </c>
      <c r="P28" s="167">
        <f>P27-O28</f>
        <v>0</v>
      </c>
      <c r="Q28" s="163"/>
      <c r="R28" s="163"/>
    </row>
    <row r="29" spans="1:18" x14ac:dyDescent="0.3">
      <c r="A29" s="211" t="s">
        <v>152</v>
      </c>
      <c r="B29" s="151">
        <f t="shared" si="9"/>
        <v>-828.75</v>
      </c>
      <c r="C29" s="166">
        <v>0</v>
      </c>
      <c r="D29" s="167">
        <f t="shared" ref="D29:D31" si="10">D28-C29</f>
        <v>0</v>
      </c>
      <c r="E29" s="166">
        <v>0</v>
      </c>
      <c r="F29" s="167">
        <f t="shared" ref="F29:F31" si="11">F28-E29</f>
        <v>0</v>
      </c>
      <c r="G29" s="166">
        <v>-3219</v>
      </c>
      <c r="H29" s="167">
        <f t="shared" ref="H29:H31" si="12">H28-G29</f>
        <v>170</v>
      </c>
      <c r="I29" s="166">
        <v>0</v>
      </c>
      <c r="J29" s="167">
        <f t="shared" ref="J29:J31" si="13">J28-I29</f>
        <v>0</v>
      </c>
      <c r="K29" s="166">
        <v>0</v>
      </c>
      <c r="L29" s="167">
        <f t="shared" ref="L29:L31" si="14">L28-K29</f>
        <v>0</v>
      </c>
      <c r="M29" s="166">
        <v>0</v>
      </c>
      <c r="N29" s="167">
        <f t="shared" ref="N29:N31" si="15">N28-M29</f>
        <v>-998.75</v>
      </c>
      <c r="O29" s="166">
        <v>0</v>
      </c>
      <c r="P29" s="167">
        <f t="shared" ref="P29:P31" si="16">P28-O29</f>
        <v>0</v>
      </c>
      <c r="Q29" s="163"/>
      <c r="R29" s="163"/>
    </row>
    <row r="30" spans="1:18" x14ac:dyDescent="0.3">
      <c r="A30" s="211" t="s">
        <v>153</v>
      </c>
      <c r="B30" s="151">
        <f t="shared" si="9"/>
        <v>-828.75</v>
      </c>
      <c r="C30" s="166">
        <v>0</v>
      </c>
      <c r="D30" s="167">
        <f t="shared" si="10"/>
        <v>0</v>
      </c>
      <c r="E30" s="166">
        <v>0</v>
      </c>
      <c r="F30" s="167">
        <f t="shared" si="11"/>
        <v>0</v>
      </c>
      <c r="G30" s="166">
        <v>0</v>
      </c>
      <c r="H30" s="167">
        <f t="shared" si="12"/>
        <v>170</v>
      </c>
      <c r="I30" s="166">
        <v>0</v>
      </c>
      <c r="J30" s="167">
        <f t="shared" si="13"/>
        <v>0</v>
      </c>
      <c r="K30" s="166">
        <v>0</v>
      </c>
      <c r="L30" s="167">
        <f t="shared" si="14"/>
        <v>0</v>
      </c>
      <c r="M30" s="166">
        <v>0</v>
      </c>
      <c r="N30" s="167">
        <f t="shared" si="15"/>
        <v>-998.75</v>
      </c>
      <c r="O30" s="166">
        <v>0</v>
      </c>
      <c r="P30" s="167">
        <f t="shared" si="16"/>
        <v>0</v>
      </c>
      <c r="Q30" s="163"/>
      <c r="R30" s="163"/>
    </row>
    <row r="31" spans="1:18" x14ac:dyDescent="0.3">
      <c r="A31" s="211" t="s">
        <v>154</v>
      </c>
      <c r="B31" s="151">
        <f t="shared" si="9"/>
        <v>-828.75</v>
      </c>
      <c r="C31" s="168">
        <v>0</v>
      </c>
      <c r="D31" s="169">
        <f t="shared" si="10"/>
        <v>0</v>
      </c>
      <c r="E31" s="168">
        <v>0</v>
      </c>
      <c r="F31" s="169">
        <f t="shared" si="11"/>
        <v>0</v>
      </c>
      <c r="G31" s="168">
        <v>0</v>
      </c>
      <c r="H31" s="169">
        <f t="shared" si="12"/>
        <v>170</v>
      </c>
      <c r="I31" s="168">
        <v>0</v>
      </c>
      <c r="J31" s="169">
        <f t="shared" si="13"/>
        <v>0</v>
      </c>
      <c r="K31" s="168">
        <v>0</v>
      </c>
      <c r="L31" s="169">
        <f t="shared" si="14"/>
        <v>0</v>
      </c>
      <c r="M31" s="168">
        <v>0</v>
      </c>
      <c r="N31" s="169">
        <f t="shared" si="15"/>
        <v>-998.75</v>
      </c>
      <c r="O31" s="168">
        <v>0</v>
      </c>
      <c r="P31" s="169">
        <f t="shared" si="16"/>
        <v>0</v>
      </c>
      <c r="Q31" s="163"/>
      <c r="R31" s="163"/>
    </row>
  </sheetData>
  <mergeCells count="16">
    <mergeCell ref="O1:P1"/>
    <mergeCell ref="O17:P17"/>
    <mergeCell ref="Q17:R17"/>
    <mergeCell ref="Q1:R1"/>
    <mergeCell ref="C17:D17"/>
    <mergeCell ref="E17:F17"/>
    <mergeCell ref="G17:H17"/>
    <mergeCell ref="I17:J17"/>
    <mergeCell ref="K17:L17"/>
    <mergeCell ref="M17:N17"/>
    <mergeCell ref="C1:D1"/>
    <mergeCell ref="E1:F1"/>
    <mergeCell ref="G1:H1"/>
    <mergeCell ref="I1:J1"/>
    <mergeCell ref="K1:L1"/>
    <mergeCell ref="M1:N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Notes</vt:lpstr>
      <vt:lpstr>Cash Flow</vt:lpstr>
      <vt:lpstr>Other Info</vt:lpstr>
      <vt:lpstr>Data</vt:lpstr>
      <vt:lpstr>Revenue</vt:lpstr>
      <vt:lpstr>Prop Tax</vt:lpstr>
      <vt:lpstr>Cash Balance</vt:lpstr>
      <vt:lpstr>DueToFrom</vt:lpstr>
      <vt:lpstr>'Cash Flow'!Print_Area</vt:lpstr>
      <vt:lpstr>Data!Print_Area</vt:lpstr>
    </vt:vector>
  </TitlesOfParts>
  <Company>Mona Shores Public Schools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Aardema</dc:creator>
  <cp:lastModifiedBy>Steve Aardema</cp:lastModifiedBy>
  <cp:lastPrinted>2017-06-29T16:46:14Z</cp:lastPrinted>
  <dcterms:created xsi:type="dcterms:W3CDTF">2011-04-28T12:34:54Z</dcterms:created>
  <dcterms:modified xsi:type="dcterms:W3CDTF">2018-02-21T14:11:46Z</dcterms:modified>
</cp:coreProperties>
</file>